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plan\"/>
    </mc:Choice>
  </mc:AlternateContent>
  <workbookProtection workbookPassword="DE31" lockStructure="1"/>
  <bookViews>
    <workbookView xWindow="0" yWindow="0" windowWidth="28800" windowHeight="120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SAP'!$A$2:$Y$501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4" i="13" l="1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1" i="13"/>
  <c r="P92" i="13"/>
  <c r="P84" i="13"/>
  <c r="P63" i="13"/>
  <c r="P54" i="13"/>
  <c r="P35" i="13"/>
  <c r="P25" i="13"/>
  <c r="P17" i="13"/>
  <c r="P103" i="13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06" i="13"/>
  <c r="P96" i="13"/>
  <c r="P88" i="13"/>
  <c r="P67" i="13"/>
  <c r="P58" i="13"/>
  <c r="P50" i="13"/>
  <c r="P30" i="13"/>
  <c r="P21" i="13"/>
  <c r="P13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K108" i="14"/>
  <c r="J108" i="14"/>
  <c r="N107" i="14"/>
  <c r="L107" i="14"/>
  <c r="K107" i="14"/>
  <c r="J107" i="14"/>
  <c r="N105" i="14"/>
  <c r="L105" i="14"/>
  <c r="K105" i="14"/>
  <c r="J105" i="14"/>
  <c r="N104" i="14"/>
  <c r="L104" i="14"/>
  <c r="K104" i="14"/>
  <c r="J104" i="14"/>
  <c r="N103" i="14"/>
  <c r="L103" i="14"/>
  <c r="K103" i="14"/>
  <c r="J103" i="14"/>
  <c r="N102" i="14"/>
  <c r="L102" i="14"/>
  <c r="K102" i="14"/>
  <c r="J102" i="14"/>
  <c r="N101" i="14"/>
  <c r="L101" i="14"/>
  <c r="K101" i="14"/>
  <c r="J101" i="14"/>
  <c r="N99" i="14"/>
  <c r="L99" i="14"/>
  <c r="K99" i="14"/>
  <c r="J99" i="14"/>
  <c r="N98" i="14"/>
  <c r="L98" i="14"/>
  <c r="K98" i="14"/>
  <c r="J98" i="14"/>
  <c r="N97" i="14"/>
  <c r="L97" i="14"/>
  <c r="K97" i="14"/>
  <c r="J97" i="14"/>
  <c r="N96" i="14"/>
  <c r="L96" i="14"/>
  <c r="K96" i="14"/>
  <c r="J96" i="14"/>
  <c r="N95" i="14"/>
  <c r="L95" i="14"/>
  <c r="K95" i="14"/>
  <c r="J95" i="14"/>
  <c r="N94" i="14"/>
  <c r="L94" i="14"/>
  <c r="K94" i="14"/>
  <c r="J94" i="14"/>
  <c r="N93" i="14"/>
  <c r="L93" i="14"/>
  <c r="K93" i="14"/>
  <c r="J93" i="14"/>
  <c r="J81" i="14"/>
  <c r="K81" i="14"/>
  <c r="L81" i="14"/>
  <c r="N81" i="14"/>
  <c r="J82" i="14"/>
  <c r="K82" i="14"/>
  <c r="L82" i="14"/>
  <c r="N82" i="14"/>
  <c r="J83" i="14"/>
  <c r="K83" i="14"/>
  <c r="L83" i="14"/>
  <c r="N83" i="14"/>
  <c r="J84" i="14"/>
  <c r="K84" i="14"/>
  <c r="L84" i="14"/>
  <c r="N84" i="14"/>
  <c r="J85" i="14"/>
  <c r="K85" i="14"/>
  <c r="L85" i="14"/>
  <c r="N85" i="14"/>
  <c r="J87" i="14"/>
  <c r="K87" i="14"/>
  <c r="L87" i="14"/>
  <c r="N87" i="14"/>
  <c r="N88" i="14"/>
  <c r="L88" i="14"/>
  <c r="K88" i="14"/>
  <c r="J88" i="14"/>
  <c r="N79" i="14"/>
  <c r="L79" i="14"/>
  <c r="K79" i="14"/>
  <c r="J79" i="14"/>
  <c r="N78" i="14"/>
  <c r="L78" i="14"/>
  <c r="K78" i="14"/>
  <c r="J78" i="14"/>
  <c r="N77" i="14"/>
  <c r="L77" i="14"/>
  <c r="K77" i="14"/>
  <c r="J77" i="14"/>
  <c r="N76" i="14"/>
  <c r="L76" i="14"/>
  <c r="K76" i="14"/>
  <c r="J76" i="14"/>
  <c r="N75" i="14"/>
  <c r="L75" i="14"/>
  <c r="K75" i="14"/>
  <c r="J75" i="14"/>
  <c r="N74" i="14"/>
  <c r="L74" i="14"/>
  <c r="K74" i="14"/>
  <c r="J74" i="14"/>
  <c r="N73" i="14"/>
  <c r="L73" i="14"/>
  <c r="K73" i="14"/>
  <c r="J73" i="14"/>
  <c r="P86" i="14" l="1"/>
  <c r="L86" i="14"/>
  <c r="K86" i="14"/>
  <c r="N86" i="14"/>
  <c r="J86" i="14"/>
  <c r="N68" i="14"/>
  <c r="L68" i="14"/>
  <c r="K68" i="14"/>
  <c r="J68" i="14"/>
  <c r="N67" i="14"/>
  <c r="L67" i="14"/>
  <c r="K67" i="14"/>
  <c r="J67" i="14"/>
  <c r="N66" i="14"/>
  <c r="L66" i="14"/>
  <c r="K66" i="14"/>
  <c r="J66" i="14"/>
  <c r="N65" i="14"/>
  <c r="L65" i="14"/>
  <c r="K65" i="14"/>
  <c r="J65" i="14"/>
  <c r="N64" i="14"/>
  <c r="L64" i="14"/>
  <c r="K64" i="14"/>
  <c r="J64" i="14"/>
  <c r="N62" i="14"/>
  <c r="L62" i="14"/>
  <c r="K62" i="14"/>
  <c r="J62" i="14"/>
  <c r="N61" i="14"/>
  <c r="L61" i="14"/>
  <c r="K61" i="14"/>
  <c r="J61" i="14"/>
  <c r="N60" i="14"/>
  <c r="L60" i="14"/>
  <c r="K60" i="14"/>
  <c r="J60" i="14"/>
  <c r="N57" i="14"/>
  <c r="L57" i="14"/>
  <c r="K57" i="14"/>
  <c r="J57" i="14"/>
  <c r="N56" i="14"/>
  <c r="L56" i="14"/>
  <c r="K56" i="14"/>
  <c r="J56" i="14"/>
  <c r="N55" i="14"/>
  <c r="L55" i="14"/>
  <c r="K55" i="14"/>
  <c r="J55" i="14"/>
  <c r="N54" i="14"/>
  <c r="L54" i="14"/>
  <c r="K54" i="14"/>
  <c r="J54" i="14"/>
  <c r="N52" i="14"/>
  <c r="L52" i="14"/>
  <c r="K52" i="14"/>
  <c r="J52" i="14"/>
  <c r="N48" i="14"/>
  <c r="L48" i="14"/>
  <c r="K48" i="14"/>
  <c r="J48" i="14"/>
  <c r="N47" i="14"/>
  <c r="L47" i="14"/>
  <c r="K47" i="14"/>
  <c r="J47" i="14"/>
  <c r="N46" i="14"/>
  <c r="L46" i="14"/>
  <c r="K46" i="14"/>
  <c r="J46" i="14"/>
  <c r="N45" i="14"/>
  <c r="L45" i="14"/>
  <c r="K45" i="14"/>
  <c r="J45" i="14"/>
  <c r="N44" i="14"/>
  <c r="L44" i="14"/>
  <c r="K44" i="14"/>
  <c r="J44" i="14"/>
  <c r="N43" i="14"/>
  <c r="L43" i="14"/>
  <c r="K43" i="14"/>
  <c r="J43" i="14"/>
  <c r="N41" i="14"/>
  <c r="L41" i="14"/>
  <c r="K41" i="14"/>
  <c r="J41" i="14"/>
  <c r="N40" i="14"/>
  <c r="L40" i="14"/>
  <c r="K40" i="14"/>
  <c r="J40" i="14"/>
  <c r="J59" i="14" l="1"/>
  <c r="N59" i="14"/>
  <c r="K59" i="14"/>
  <c r="L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K37" i="14"/>
  <c r="J37" i="14"/>
  <c r="N36" i="14"/>
  <c r="L36" i="14"/>
  <c r="K36" i="14"/>
  <c r="J36" i="14"/>
  <c r="N35" i="14"/>
  <c r="L35" i="14"/>
  <c r="K35" i="14"/>
  <c r="J35" i="14"/>
  <c r="N34" i="14"/>
  <c r="L34" i="14"/>
  <c r="K34" i="14"/>
  <c r="J34" i="14"/>
  <c r="N32" i="14"/>
  <c r="L32" i="14"/>
  <c r="K32" i="14"/>
  <c r="J32" i="14"/>
  <c r="N31" i="14"/>
  <c r="L31" i="14"/>
  <c r="K31" i="14"/>
  <c r="J31" i="14"/>
  <c r="N29" i="14"/>
  <c r="L29" i="14"/>
  <c r="K29" i="14"/>
  <c r="J29" i="14"/>
  <c r="N28" i="14"/>
  <c r="L28" i="14"/>
  <c r="K28" i="14"/>
  <c r="J28" i="14"/>
  <c r="N27" i="14"/>
  <c r="L27" i="14"/>
  <c r="K27" i="14"/>
  <c r="J27" i="14"/>
  <c r="N26" i="14"/>
  <c r="L26" i="14"/>
  <c r="K26" i="14"/>
  <c r="J26" i="14"/>
  <c r="N25" i="14"/>
  <c r="L25" i="14"/>
  <c r="K25" i="14"/>
  <c r="J25" i="14"/>
  <c r="N24" i="14"/>
  <c r="L24" i="14"/>
  <c r="K24" i="14"/>
  <c r="J24" i="14"/>
  <c r="N22" i="14"/>
  <c r="L22" i="14"/>
  <c r="K22" i="14"/>
  <c r="J22" i="14"/>
  <c r="N21" i="14"/>
  <c r="L21" i="14"/>
  <c r="K21" i="14"/>
  <c r="J21" i="14"/>
  <c r="N20" i="14"/>
  <c r="L20" i="14"/>
  <c r="K20" i="14"/>
  <c r="J20" i="14"/>
  <c r="N18" i="14"/>
  <c r="L18" i="14"/>
  <c r="K18" i="14"/>
  <c r="J18" i="14"/>
  <c r="N17" i="14"/>
  <c r="L17" i="14"/>
  <c r="K17" i="14"/>
  <c r="J17" i="14"/>
  <c r="N16" i="14"/>
  <c r="L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O11" i="14" s="1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N14" i="14"/>
  <c r="L14" i="14"/>
  <c r="K14" i="14"/>
  <c r="J14" i="14"/>
  <c r="N13" i="14"/>
  <c r="K13" i="14"/>
  <c r="J13" i="14"/>
  <c r="E13" i="14"/>
  <c r="N12" i="14"/>
  <c r="K12" i="14"/>
  <c r="J12" i="14"/>
  <c r="H12" i="14"/>
  <c r="N11" i="14"/>
  <c r="L11" i="14"/>
  <c r="K11" i="14"/>
  <c r="J11" i="14"/>
  <c r="E11" i="14"/>
  <c r="O10" i="14"/>
  <c r="N10" i="14"/>
  <c r="L10" i="14"/>
  <c r="K10" i="14"/>
  <c r="J10" i="14"/>
  <c r="N8" i="14"/>
  <c r="K8" i="14"/>
  <c r="J8" i="14"/>
  <c r="E8" i="14"/>
  <c r="O7" i="14"/>
  <c r="N7" i="14"/>
  <c r="K7" i="14"/>
  <c r="J7" i="14"/>
  <c r="O6" i="14"/>
  <c r="N6" i="14"/>
  <c r="L6" i="14"/>
  <c r="K6" i="14"/>
  <c r="J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36" i="14" l="1"/>
  <c r="E16" i="14"/>
  <c r="E24" i="14"/>
  <c r="E31" i="14"/>
  <c r="E22" i="14"/>
  <c r="E29" i="14"/>
  <c r="E37" i="14"/>
  <c r="E102" i="14"/>
  <c r="E95" i="14"/>
  <c r="E87" i="14"/>
  <c r="E77" i="14"/>
  <c r="E73" i="14"/>
  <c r="E103" i="14"/>
  <c r="E96" i="14"/>
  <c r="E85" i="14"/>
  <c r="E78" i="14"/>
  <c r="E104" i="14"/>
  <c r="E97" i="14"/>
  <c r="E84" i="14"/>
  <c r="E79" i="14"/>
  <c r="E105" i="14"/>
  <c r="E98" i="14"/>
  <c r="E83" i="14"/>
  <c r="E88" i="14"/>
  <c r="E74" i="14"/>
  <c r="E107" i="14"/>
  <c r="E99" i="14"/>
  <c r="E93" i="14"/>
  <c r="E82" i="14"/>
  <c r="E75" i="14"/>
  <c r="E108" i="14"/>
  <c r="E101" i="14"/>
  <c r="E94" i="14"/>
  <c r="E81" i="14"/>
  <c r="E76" i="14"/>
  <c r="E21" i="14"/>
  <c r="E28" i="14"/>
  <c r="E50" i="14"/>
  <c r="E49" i="14" s="1"/>
  <c r="E64" i="14"/>
  <c r="E55" i="14"/>
  <c r="E45" i="14"/>
  <c r="E65" i="14"/>
  <c r="E56" i="14"/>
  <c r="E46" i="14"/>
  <c r="E66" i="14"/>
  <c r="E57" i="14"/>
  <c r="E47" i="14"/>
  <c r="E40" i="14"/>
  <c r="E67" i="14"/>
  <c r="E60" i="14"/>
  <c r="E48" i="14"/>
  <c r="E41" i="14"/>
  <c r="E43" i="14"/>
  <c r="E68" i="14"/>
  <c r="E61" i="14"/>
  <c r="E52" i="14"/>
  <c r="E62" i="14"/>
  <c r="E54" i="14"/>
  <c r="E44" i="14"/>
  <c r="E20" i="14"/>
  <c r="E27" i="14"/>
  <c r="E35" i="14"/>
  <c r="E18" i="14"/>
  <c r="E26" i="14"/>
  <c r="E34" i="14"/>
  <c r="E17" i="14"/>
  <c r="E25" i="14"/>
  <c r="E32" i="14"/>
  <c r="O13" i="14"/>
  <c r="M12" i="14"/>
  <c r="O14" i="14"/>
  <c r="O17" i="14"/>
  <c r="O20" i="14"/>
  <c r="O22" i="14"/>
  <c r="O25" i="14"/>
  <c r="O27" i="14"/>
  <c r="O29" i="14"/>
  <c r="O32" i="14"/>
  <c r="O35" i="14"/>
  <c r="O37" i="14"/>
  <c r="O50" i="14"/>
  <c r="O68" i="14"/>
  <c r="O66" i="14"/>
  <c r="O64" i="14"/>
  <c r="O61" i="14"/>
  <c r="O57" i="14"/>
  <c r="O55" i="14"/>
  <c r="O52" i="14"/>
  <c r="O47" i="14"/>
  <c r="O45" i="14"/>
  <c r="O43" i="14"/>
  <c r="O40" i="14"/>
  <c r="O67" i="14"/>
  <c r="O65" i="14"/>
  <c r="O62" i="14"/>
  <c r="O60" i="14"/>
  <c r="O56" i="14"/>
  <c r="O54" i="14"/>
  <c r="O48" i="14"/>
  <c r="O46" i="14"/>
  <c r="O44" i="14"/>
  <c r="O41" i="14"/>
  <c r="O107" i="14"/>
  <c r="O104" i="14"/>
  <c r="O102" i="14"/>
  <c r="O99" i="14"/>
  <c r="O97" i="14"/>
  <c r="O95" i="14"/>
  <c r="O93" i="14"/>
  <c r="O79" i="14"/>
  <c r="O77" i="14"/>
  <c r="O75" i="14"/>
  <c r="O73" i="14"/>
  <c r="O105" i="14"/>
  <c r="O101" i="14"/>
  <c r="O96" i="14"/>
  <c r="O78" i="14"/>
  <c r="O74" i="14"/>
  <c r="O82" i="14"/>
  <c r="O87" i="14"/>
  <c r="O81" i="14"/>
  <c r="O83" i="14"/>
  <c r="O85" i="14"/>
  <c r="O108" i="14"/>
  <c r="O103" i="14"/>
  <c r="O98" i="14"/>
  <c r="O94" i="14"/>
  <c r="O88" i="14"/>
  <c r="O76" i="14"/>
  <c r="O84" i="14"/>
  <c r="O16" i="14"/>
  <c r="O18" i="14"/>
  <c r="O21" i="14"/>
  <c r="O24" i="14"/>
  <c r="O26" i="14"/>
  <c r="O28" i="14"/>
  <c r="O31" i="14"/>
  <c r="O34" i="14"/>
  <c r="O36" i="14"/>
  <c r="O8" i="14"/>
  <c r="O12" i="14"/>
  <c r="M10" i="14"/>
  <c r="M7" i="14"/>
  <c r="M8" i="14"/>
  <c r="M25" i="14"/>
  <c r="M14" i="14"/>
  <c r="M18" i="14"/>
  <c r="M6" i="14"/>
  <c r="M11" i="14"/>
  <c r="M13" i="14"/>
  <c r="M36" i="14"/>
  <c r="M35" i="14"/>
  <c r="M31" i="14"/>
  <c r="M26" i="14"/>
  <c r="M16" i="14"/>
  <c r="M20" i="14"/>
  <c r="M29" i="14"/>
  <c r="M21" i="14"/>
  <c r="M50" i="14"/>
  <c r="M65" i="14"/>
  <c r="M60" i="14"/>
  <c r="M54" i="14"/>
  <c r="M46" i="14"/>
  <c r="M41" i="14"/>
  <c r="M62" i="14"/>
  <c r="M48" i="14"/>
  <c r="M66" i="14"/>
  <c r="M55" i="14"/>
  <c r="M43" i="14"/>
  <c r="M68" i="14"/>
  <c r="M64" i="14"/>
  <c r="M57" i="14"/>
  <c r="M52" i="14"/>
  <c r="M45" i="14"/>
  <c r="M40" i="14"/>
  <c r="M67" i="14"/>
  <c r="M56" i="14"/>
  <c r="M44" i="14"/>
  <c r="M61" i="14"/>
  <c r="M47" i="14"/>
  <c r="M17" i="14"/>
  <c r="M22" i="14"/>
  <c r="M27" i="14"/>
  <c r="M32" i="14"/>
  <c r="M37" i="14"/>
  <c r="M108" i="14"/>
  <c r="M103" i="14"/>
  <c r="M98" i="14"/>
  <c r="M94" i="14"/>
  <c r="M81" i="14"/>
  <c r="M85" i="14"/>
  <c r="M88" i="14"/>
  <c r="M76" i="14"/>
  <c r="M105" i="14"/>
  <c r="M96" i="14"/>
  <c r="M74" i="14"/>
  <c r="M99" i="14"/>
  <c r="M77" i="14"/>
  <c r="M107" i="14"/>
  <c r="M102" i="14"/>
  <c r="M97" i="14"/>
  <c r="M93" i="14"/>
  <c r="M82" i="14"/>
  <c r="M87" i="14"/>
  <c r="M86" i="14" s="1"/>
  <c r="M79" i="14"/>
  <c r="M75" i="14"/>
  <c r="M101" i="14"/>
  <c r="M83" i="14"/>
  <c r="M78" i="14"/>
  <c r="M104" i="14"/>
  <c r="M95" i="14"/>
  <c r="M84" i="14"/>
  <c r="M73" i="14"/>
  <c r="M24" i="14"/>
  <c r="M28" i="14"/>
  <c r="M34" i="14"/>
  <c r="H7" i="14"/>
  <c r="H13" i="14"/>
  <c r="H8" i="14"/>
  <c r="H50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48" i="14"/>
  <c r="H47" i="14"/>
  <c r="H46" i="14"/>
  <c r="H45" i="14"/>
  <c r="H44" i="14"/>
  <c r="H43" i="14"/>
  <c r="H41" i="14"/>
  <c r="H40" i="14"/>
  <c r="H16" i="14"/>
  <c r="H17" i="14"/>
  <c r="H18" i="14"/>
  <c r="H20" i="14"/>
  <c r="H21" i="14"/>
  <c r="H22" i="14"/>
  <c r="H24" i="14"/>
  <c r="H25" i="14"/>
  <c r="H26" i="14"/>
  <c r="H27" i="14"/>
  <c r="H28" i="14"/>
  <c r="H29" i="14"/>
  <c r="H31" i="14"/>
  <c r="H32" i="14"/>
  <c r="H34" i="14"/>
  <c r="H35" i="14"/>
  <c r="H36" i="14"/>
  <c r="H37" i="14"/>
  <c r="H6" i="14"/>
  <c r="H10" i="14"/>
  <c r="H11" i="14"/>
  <c r="H14" i="14"/>
  <c r="I8" i="14"/>
  <c r="I12" i="14"/>
  <c r="I6" i="14"/>
  <c r="I7" i="14"/>
  <c r="I11" i="14"/>
  <c r="I13" i="14"/>
  <c r="I3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81" i="14"/>
  <c r="I82" i="14"/>
  <c r="I83" i="14"/>
  <c r="I84" i="14"/>
  <c r="I85" i="14"/>
  <c r="I87" i="14"/>
  <c r="I25" i="14"/>
  <c r="I29" i="14"/>
  <c r="I14" i="14"/>
  <c r="I18" i="14"/>
  <c r="I24" i="14"/>
  <c r="I28" i="14"/>
  <c r="I34" i="14"/>
  <c r="I17" i="14"/>
  <c r="I22" i="14"/>
  <c r="I27" i="14"/>
  <c r="I32" i="14"/>
  <c r="I50" i="14"/>
  <c r="I68" i="14"/>
  <c r="I64" i="14"/>
  <c r="I57" i="14"/>
  <c r="I52" i="14"/>
  <c r="I45" i="14"/>
  <c r="I40" i="14"/>
  <c r="I61" i="14"/>
  <c r="I55" i="14"/>
  <c r="I47" i="14"/>
  <c r="I67" i="14"/>
  <c r="I56" i="14"/>
  <c r="I44" i="14"/>
  <c r="I65" i="14"/>
  <c r="I60" i="14"/>
  <c r="I54" i="14"/>
  <c r="I46" i="14"/>
  <c r="I41" i="14"/>
  <c r="I66" i="14"/>
  <c r="I43" i="14"/>
  <c r="I62" i="14"/>
  <c r="I48" i="14"/>
  <c r="I20" i="14"/>
  <c r="I35" i="14"/>
  <c r="I10" i="14"/>
  <c r="I16" i="14"/>
  <c r="I21" i="14"/>
  <c r="I26" i="14"/>
  <c r="I31" i="14"/>
  <c r="I36" i="14"/>
  <c r="G50" i="14"/>
  <c r="G60" i="14"/>
  <c r="G56" i="14"/>
  <c r="G48" i="14"/>
  <c r="G44" i="14"/>
  <c r="G68" i="14"/>
  <c r="G66" i="14"/>
  <c r="G64" i="14"/>
  <c r="G61" i="14"/>
  <c r="G57" i="14"/>
  <c r="G55" i="14"/>
  <c r="G52" i="14"/>
  <c r="G47" i="14"/>
  <c r="G45" i="14"/>
  <c r="G43" i="14"/>
  <c r="G40" i="14"/>
  <c r="G67" i="14"/>
  <c r="G65" i="14"/>
  <c r="G62" i="14"/>
  <c r="G54" i="14"/>
  <c r="G46" i="14"/>
  <c r="G41" i="14"/>
  <c r="G20" i="14"/>
  <c r="G25" i="14"/>
  <c r="G29" i="14"/>
  <c r="G35" i="14"/>
  <c r="G16" i="14"/>
  <c r="G18" i="14"/>
  <c r="G21" i="14"/>
  <c r="G24" i="14"/>
  <c r="G26" i="14"/>
  <c r="G28" i="14"/>
  <c r="G31" i="14"/>
  <c r="G34" i="14"/>
  <c r="G36" i="14"/>
  <c r="G104" i="14"/>
  <c r="G99" i="14"/>
  <c r="G95" i="14"/>
  <c r="G84" i="14"/>
  <c r="G77" i="14"/>
  <c r="G73" i="14"/>
  <c r="G102" i="14"/>
  <c r="G93" i="14"/>
  <c r="G87" i="14"/>
  <c r="G79" i="14"/>
  <c r="G75" i="14"/>
  <c r="G108" i="14"/>
  <c r="G98" i="14"/>
  <c r="G81" i="14"/>
  <c r="G88" i="14"/>
  <c r="G76" i="14"/>
  <c r="G105" i="14"/>
  <c r="G101" i="14"/>
  <c r="G96" i="14"/>
  <c r="G83" i="14"/>
  <c r="G78" i="14"/>
  <c r="G74" i="14"/>
  <c r="G107" i="14"/>
  <c r="G97" i="14"/>
  <c r="G82" i="14"/>
  <c r="G103" i="14"/>
  <c r="G94" i="14"/>
  <c r="G85" i="14"/>
  <c r="G17" i="14"/>
  <c r="G22" i="14"/>
  <c r="G27" i="14"/>
  <c r="G32" i="14"/>
  <c r="G37" i="14"/>
  <c r="F10" i="14"/>
  <c r="F7" i="14"/>
  <c r="F8" i="14"/>
  <c r="F13" i="14"/>
  <c r="F14" i="14"/>
  <c r="F12" i="14"/>
  <c r="F32" i="14"/>
  <c r="F22" i="14"/>
  <c r="F31" i="14"/>
  <c r="F16" i="14"/>
  <c r="F26" i="14"/>
  <c r="F36" i="14"/>
  <c r="F6" i="14"/>
  <c r="F17" i="14"/>
  <c r="F27" i="14"/>
  <c r="F37" i="14"/>
  <c r="F11" i="14"/>
  <c r="F21" i="14"/>
  <c r="F50" i="14"/>
  <c r="F49" i="14" s="1"/>
  <c r="F67" i="14"/>
  <c r="F62" i="14"/>
  <c r="F56" i="14"/>
  <c r="F47" i="14"/>
  <c r="F43" i="14"/>
  <c r="F66" i="14"/>
  <c r="F61" i="14"/>
  <c r="F55" i="14"/>
  <c r="F46" i="14"/>
  <c r="F41" i="14"/>
  <c r="F48" i="14"/>
  <c r="F44" i="14"/>
  <c r="F65" i="14"/>
  <c r="F60" i="14"/>
  <c r="F54" i="14"/>
  <c r="F45" i="14"/>
  <c r="F40" i="14"/>
  <c r="F68" i="14"/>
  <c r="F64" i="14"/>
  <c r="F57" i="14"/>
  <c r="F52" i="14"/>
  <c r="F18" i="14"/>
  <c r="F24" i="14"/>
  <c r="F28" i="14"/>
  <c r="F34" i="14"/>
  <c r="F107" i="14"/>
  <c r="F104" i="14"/>
  <c r="F102" i="14"/>
  <c r="F99" i="14"/>
  <c r="F97" i="14"/>
  <c r="F95" i="14"/>
  <c r="F93" i="14"/>
  <c r="F79" i="14"/>
  <c r="F77" i="14"/>
  <c r="F75" i="14"/>
  <c r="F73" i="14"/>
  <c r="F101" i="14"/>
  <c r="F96" i="14"/>
  <c r="F74" i="14"/>
  <c r="F82" i="14"/>
  <c r="F84" i="14"/>
  <c r="F87" i="14"/>
  <c r="F81" i="14"/>
  <c r="F83" i="14"/>
  <c r="F85" i="14"/>
  <c r="F108" i="14"/>
  <c r="F105" i="14"/>
  <c r="F103" i="14"/>
  <c r="F98" i="14"/>
  <c r="F94" i="14"/>
  <c r="F88" i="14"/>
  <c r="F78" i="14"/>
  <c r="F76" i="14"/>
  <c r="F20" i="14"/>
  <c r="F25" i="14"/>
  <c r="F29" i="14"/>
  <c r="F35" i="14"/>
  <c r="D6" i="14"/>
  <c r="D7" i="14"/>
  <c r="D28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O86" i="14"/>
  <c r="O59" i="14"/>
  <c r="M59" i="14"/>
  <c r="H59" i="14"/>
  <c r="H63" i="14"/>
  <c r="I86" i="14"/>
  <c r="I59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<sst xmlns="http://schemas.openxmlformats.org/spreadsheetml/2006/main" count="3501" uniqueCount="1669">
  <si>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</si>
  <si>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</si>
  <si>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</si>
  <si>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</si>
  <si>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</si>
  <si>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</si>
  <si>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</si>
  <si>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</si>
  <si>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</si>
  <si>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</si>
  <si>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</si>
  <si>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</si>
  <si>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</si>
  <si>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</si>
  <si>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</si>
  <si>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</si>
  <si>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</si>
  <si>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</si>
  <si>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</si>
  <si>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</si>
  <si>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</si>
  <si>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</si>
  <si>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</si>
  <si>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</si>
  <si>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</si>
  <si>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</si>
  <si>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</si>
  <si>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</si>
  <si>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</si>
  <si>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</si>
  <si>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</si>
  <si>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</si>
  <si>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</si>
  <si>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</si>
  <si>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</si>
  <si>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</si>
  <si>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</si>
  <si>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</si>
  <si>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</si>
  <si>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</si>
  <si>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</si>
  <si>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</si>
  <si>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</si>
  <si>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</si>
  <si>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</si>
  <si>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</si>
  <si>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</si>
  <si>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</si>
  <si>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</si>
  <si>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</si>
  <si>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</si>
  <si>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</si>
  <si>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</si>
  <si>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</si>
  <si>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</si>
  <si>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</si>
  <si>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</si>
  <si>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</si>
  <si>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</si>
  <si>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</si>
  <si>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</si>
  <si>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</si>
  <si>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</si>
  <si>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</si>
  <si>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</si>
  <si>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</si>
  <si>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</si>
  <si>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</si>
  <si>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</si>
  <si>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</si>
  <si>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</si>
  <si>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</si>
  <si>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</si>
  <si>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</si>
  <si>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</si>
  <si>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</si>
  <si>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</si>
  <si>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</si>
  <si>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</si>
  <si>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</si>
  <si>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</si>
  <si>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</si>
  <si>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</si>
  <si>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</si>
  <si>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</si>
  <si>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</si>
  <si>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</si>
  <si>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</si>
  <si>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</si>
  <si>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</si>
  <si>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</si>
  <si>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</si>
  <si>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</si>
  <si>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</si>
  <si>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</si>
  <si>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</si>
  <si>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</si>
  <si>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</si>
  <si>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</si>
  <si>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</si>
  <si>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</si>
  <si>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</si>
  <si>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</si>
  <si>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</si>
  <si>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</si>
  <si>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</si>
  <si>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</si>
  <si>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</si>
  <si>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</si>
  <si>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</si>
  <si>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</si>
  <si>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</si>
  <si>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</si>
  <si>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</si>
  <si>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</si>
  <si>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</si>
  <si>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</si>
  <si>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</si>
  <si>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</si>
  <si>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</si>
  <si>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</si>
  <si>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</si>
  <si>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</si>
  <si>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</si>
  <si>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</si>
  <si>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</si>
  <si>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</si>
  <si>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</si>
  <si>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</si>
  <si>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</si>
  <si>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</si>
  <si>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</si>
  <si>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</si>
  <si>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</si>
  <si>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</si>
  <si>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</si>
  <si>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</si>
  <si>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</si>
  <si>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</si>
  <si>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</si>
  <si>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</si>
  <si>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</si>
  <si>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</si>
  <si>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</si>
  <si>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</si>
  <si>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</si>
  <si>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</si>
  <si>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</si>
  <si>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</si>
  <si>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</si>
  <si>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</si>
  <si>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</si>
  <si>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</si>
  <si>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</si>
  <si>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</si>
  <si>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</si>
  <si>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</si>
  <si>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</si>
  <si>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</si>
  <si>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</si>
  <si>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</si>
  <si>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</si>
  <si>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</si>
  <si>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</si>
  <si>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</si>
  <si>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</si>
  <si>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</si>
  <si>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</si>
  <si>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</si>
  <si>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</si>
  <si>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</si>
  <si>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</si>
  <si>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</si>
  <si>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</si>
  <si>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</si>
  <si>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</si>
  <si>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</si>
  <si>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</si>
  <si>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</si>
  <si>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</si>
  <si>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</si>
  <si>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</si>
  <si>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</si>
  <si>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</si>
  <si>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</si>
  <si>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</si>
  <si>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</si>
  <si>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</si>
  <si>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</si>
  <si>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</si>
  <si>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</si>
  <si>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</si>
  <si>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</si>
  <si>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</si>
  <si>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</si>
  <si>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</si>
  <si>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</si>
  <si>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</si>
  <si>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</si>
  <si>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</si>
  <si>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</si>
  <si>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</si>
  <si>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</si>
  <si>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</si>
  <si>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</si>
  <si>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</si>
  <si>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</si>
  <si>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</si>
  <si>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</si>
  <si>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</si>
  <si>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</si>
  <si>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</si>
  <si>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</si>
  <si>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</si>
  <si>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</si>
  <si>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</si>
  <si>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</si>
  <si>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</si>
  <si>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</si>
  <si>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</si>
  <si>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</si>
  <si>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</si>
  <si>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</si>
  <si>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</si>
  <si>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</si>
  <si>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</si>
  <si>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</si>
  <si>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</si>
  <si>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</si>
  <si>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</si>
  <si>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</si>
  <si>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</si>
  <si>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</si>
  <si>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</si>
  <si>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</si>
  <si>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</si>
  <si>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</si>
  <si>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</si>
  <si>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</si>
  <si>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</si>
  <si>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</si>
  <si>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</si>
  <si>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</si>
  <si>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</si>
  <si>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</si>
  <si>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</si>
  <si>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</si>
  <si>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</si>
  <si>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</si>
  <si>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</si>
  <si>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</si>
  <si>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</si>
  <si>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</si>
  <si>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</si>
  <si>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</si>
  <si>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</si>
  <si>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</si>
  <si>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</si>
  <si>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</si>
  <si>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</si>
  <si>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</si>
  <si>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</si>
  <si>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</si>
  <si>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</si>
  <si>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</si>
  <si>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</si>
  <si>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</si>
  <si>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</si>
  <si>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</si>
  <si>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</si>
  <si>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</si>
  <si>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</si>
  <si>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</si>
  <si>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</si>
  <si>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</si>
  <si>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</si>
  <si>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</si>
  <si>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</si>
  <si>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</si>
  <si>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</si>
  <si>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</si>
  <si>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</si>
  <si>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</si>
  <si>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</si>
  <si>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</si>
  <si>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</si>
  <si>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</si>
  <si>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</si>
  <si>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</si>
  <si>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</si>
  <si>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</si>
  <si>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</si>
  <si>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</si>
  <si>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</si>
  <si>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</si>
  <si>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</si>
  <si>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</si>
  <si>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</si>
  <si>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</si>
  <si>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</si>
  <si>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</si>
  <si>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</si>
  <si>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</si>
  <si>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</si>
  <si>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</si>
  <si>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</si>
  <si>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</si>
  <si>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</si>
  <si>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</si>
  <si>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</si>
  <si>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</si>
  <si>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</si>
  <si>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</si>
  <si>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</si>
  <si>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</si>
  <si>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</si>
  <si>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</si>
  <si>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</si>
  <si>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</si>
  <si>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</si>
  <si>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</si>
  <si>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</si>
  <si>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</si>
  <si>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</si>
  <si>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</si>
  <si>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</si>
  <si>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</si>
  <si>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</si>
  <si>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</si>
  <si>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</si>
  <si>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</si>
  <si>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</si>
  <si>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</si>
  <si>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</si>
  <si>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</si>
  <si>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</si>
  <si>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</si>
  <si>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</si>
  <si>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</si>
  <si>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</si>
  <si>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</si>
  <si>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</si>
  <si>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</si>
  <si>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</si>
  <si>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</si>
  <si>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</si>
  <si>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</si>
  <si>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</si>
  <si>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</si>
  <si>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</si>
  <si>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</si>
  <si>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</si>
  <si>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</si>
  <si>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</si>
  <si>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</si>
  <si>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</si>
  <si>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</si>
  <si>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</si>
  <si>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</si>
  <si>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</si>
  <si>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</si>
  <si>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</si>
  <si>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</si>
  <si>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</si>
  <si>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</si>
  <si>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</si>
  <si>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</si>
  <si>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</si>
  <si>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</si>
  <si>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</si>
  <si>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</si>
  <si>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</si>
  <si>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</si>
  <si>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</si>
  <si>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</si>
  <si>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</si>
  <si>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</si>
  <si>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</si>
  <si>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</si>
  <si>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</si>
  <si>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</si>
  <si>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</si>
  <si>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</si>
  <si>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</si>
  <si>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</si>
  <si>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</si>
  <si>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</si>
  <si>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</si>
  <si>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</si>
  <si>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</si>
  <si>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</si>
  <si>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</si>
  <si>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</si>
  <si>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</si>
  <si>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</si>
  <si>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</si>
  <si>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</si>
  <si>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</si>
  <si>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</si>
  <si>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</si>
  <si>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</si>
  <si>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</si>
  <si>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</si>
  <si>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</si>
  <si>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</si>
  <si>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</si>
  <si>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</si>
  <si>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</si>
  <si>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</si>
  <si>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</si>
  <si>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</si>
  <si>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</si>
  <si>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</si>
  <si>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</si>
  <si>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</si>
  <si>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</si>
  <si>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</si>
  <si>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</si>
  <si>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</si>
  <si>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</si>
  <si>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</si>
  <si>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</si>
  <si>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</si>
  <si>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</si>
  <si>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</si>
  <si>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</si>
  <si>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</si>
  <si>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</si>
  <si>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</si>
  <si>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</si>
  <si>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</si>
  <si>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</si>
  <si>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</si>
  <si>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</si>
  <si>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</si>
  <si>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</si>
  <si>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</si>
  <si>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</si>
  <si>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</si>
  <si>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</si>
  <si>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</si>
  <si>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</si>
  <si>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</si>
  <si>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</si>
  <si>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</si>
  <si>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</si>
  <si>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</si>
  <si>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</si>
  <si>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</si>
  <si>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</si>
  <si>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</si>
  <si>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</si>
  <si>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</si>
  <si>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</si>
  <si>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</si>
  <si>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</si>
  <si>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</si>
  <si>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</si>
  <si>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</si>
  <si>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</si>
  <si>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</si>
  <si>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</si>
  <si>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</si>
  <si>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</si>
  <si>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</si>
  <si>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</si>
  <si>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</si>
  <si>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</si>
  <si>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</si>
  <si>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</si>
  <si>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</si>
  <si>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</si>
  <si>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</si>
  <si>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</si>
  <si>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</si>
  <si>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</si>
  <si>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</si>
  <si>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</si>
  <si>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</si>
  <si>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</si>
  <si>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</si>
  <si>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</si>
  <si>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</si>
  <si>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</si>
  <si>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</si>
  <si>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</si>
  <si>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</si>
  <si>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</si>
  <si>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</si>
  <si>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</si>
  <si>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</si>
  <si>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</si>
  <si>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</si>
  <si>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</si>
  <si>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</si>
  <si>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</si>
  <si>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</si>
  <si>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</si>
  <si>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</si>
  <si>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</si>
  <si>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</si>
  <si>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</si>
  <si>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</si>
  <si>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</si>
  <si>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</si>
  <si>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</si>
  <si>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</si>
  <si>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</si>
  <si>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</si>
  <si>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</si>
  <si>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</si>
  <si>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</si>
  <si>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</si>
  <si>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</si>
  <si>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</si>
  <si>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</si>
  <si>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</si>
  <si>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</si>
  <si>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</si>
  <si>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</si>
  <si>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</si>
  <si>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</si>
  <si>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</si>
  <si>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</si>
  <si>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</si>
  <si>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</si>
  <si>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</si>
  <si>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</si>
  <si>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</si>
  <si>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</si>
  <si>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</si>
  <si>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</si>
  <si>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</si>
  <si>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</si>
  <si>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</si>
  <si>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</si>
  <si>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</si>
  <si>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</si>
  <si>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</si>
  <si>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</si>
  <si>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</si>
  <si>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</si>
  <si>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</si>
  <si>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</si>
  <si>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</si>
  <si>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</si>
  <si>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</si>
  <si>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</si>
  <si>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</si>
  <si>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</si>
  <si>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</si>
  <si>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</si>
  <si>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</si>
  <si>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</si>
  <si>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</si>
  <si>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</si>
  <si>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</si>
  <si>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</si>
  <si>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</si>
  <si>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</si>
  <si>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</si>
  <si>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</si>
  <si>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</si>
  <si>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</si>
  <si>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</si>
  <si>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</si>
  <si>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</si>
  <si>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</si>
  <si>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</si>
  <si>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</si>
  <si>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</si>
  <si>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</si>
  <si>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</si>
  <si>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</si>
  <si>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</si>
  <si>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</si>
  <si>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</si>
  <si>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</si>
  <si>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</si>
  <si>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</si>
  <si>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</si>
  <si>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</si>
  <si>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</si>
  <si>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</si>
  <si>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</si>
  <si>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</si>
  <si>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</si>
  <si>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</si>
  <si>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</si>
  <si>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</si>
  <si>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</si>
  <si>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</si>
  <si>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</si>
  <si>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</si>
  <si>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</si>
  <si>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</si>
  <si>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</si>
  <si>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</si>
  <si>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</si>
  <si>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</si>
  <si>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</si>
  <si>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</si>
  <si>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</si>
  <si>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</si>
  <si>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</si>
  <si>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</si>
  <si>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</si>
  <si>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</si>
  <si>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</si>
  <si>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</si>
  <si>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</si>
  <si>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</si>
  <si>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</si>
  <si>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</si>
  <si>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</si>
  <si>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</si>
  <si>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</si>
  <si>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</si>
  <si>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</si>
  <si>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</si>
  <si>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</si>
  <si>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</si>
  <si>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</si>
  <si>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</si>
  <si>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</si>
  <si>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</si>
  <si>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</si>
  <si>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</si>
  <si>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</si>
  <si>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</si>
  <si>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</si>
  <si>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</si>
  <si>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</si>
  <si>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</si>
  <si>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</si>
  <si>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</si>
  <si>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</si>
  <si>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</si>
  <si>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</si>
  <si>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</si>
  <si>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</si>
  <si>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</si>
  <si>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</si>
  <si>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</si>
  <si>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</si>
  <si>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</si>
  <si>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</si>
  <si>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</si>
  <si>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</si>
  <si>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</si>
  <si>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</si>
  <si>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</si>
  <si>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</si>
  <si>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</si>
  <si>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</si>
  <si>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</si>
  <si>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</si>
  <si>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</si>
  <si>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</si>
  <si>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</si>
  <si>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</si>
  <si>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</si>
  <si>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</si>
  <si>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</si>
  <si>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</si>
  <si>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</si>
  <si>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</si>
  <si>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</si>
  <si>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</si>
  <si>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</si>
  <si>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</si>
  <si>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</si>
  <si>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</si>
  <si>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</si>
  <si>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</si>
  <si>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</si>
  <si>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</si>
  <si>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</si>
  <si>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</si>
  <si>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</si>
  <si>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</si>
  <si>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</si>
  <si>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</si>
  <si>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</si>
  <si>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</si>
  <si>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</si>
  <si>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</si>
  <si>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</si>
  <si>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</si>
  <si>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</si>
  <si>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</si>
  <si>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</si>
  <si>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</si>
  <si>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</si>
  <si>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</si>
  <si>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</si>
  <si>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</si>
  <si>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</si>
  <si>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</si>
  <si>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</si>
  <si>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</si>
  <si>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</si>
  <si>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</si>
  <si>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</si>
  <si>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</si>
  <si>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</si>
  <si>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</si>
  <si>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</si>
  <si>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</si>
  <si>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</si>
  <si>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</si>
  <si>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</si>
  <si>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</si>
  <si>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</si>
  <si>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</si>
  <si>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</si>
  <si>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</si>
  <si>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</si>
  <si>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</si>
  <si>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</si>
  <si>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</si>
  <si>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</si>
  <si>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</si>
  <si>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</si>
  <si>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</si>
  <si>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</si>
  <si>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</si>
  <si>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</si>
  <si>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</si>
  <si>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</si>
  <si>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</si>
  <si>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</si>
  <si>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</si>
  <si>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</si>
  <si>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</si>
  <si>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</si>
  <si>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</si>
  <si>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</si>
  <si>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</si>
  <si>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</si>
  <si>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</si>
  <si>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</si>
  <si>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</si>
  <si>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</si>
  <si>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</si>
  <si>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</si>
  <si>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</si>
  <si>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</si>
  <si>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</si>
  <si>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</si>
  <si>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</si>
  <si>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</si>
  <si>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</si>
  <si>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</si>
  <si>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</si>
  <si>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</si>
  <si>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</si>
  <si>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</si>
  <si>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</si>
  <si>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</si>
  <si>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</si>
  <si>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</si>
  <si>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</si>
  <si>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</si>
  <si>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</si>
  <si>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</si>
  <si>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</si>
  <si>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</si>
  <si>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</si>
  <si>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</si>
  <si>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</si>
  <si>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</si>
  <si>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</si>
  <si>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</si>
  <si>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</si>
  <si>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</si>
  <si>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</si>
  <si>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</si>
  <si>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</si>
  <si>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</si>
  <si>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</si>
  <si>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</si>
  <si>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</si>
  <si>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</si>
  <si>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</si>
  <si>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</si>
  <si>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</si>
  <si>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</si>
  <si>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</si>
  <si>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</si>
  <si>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</si>
  <si>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</si>
  <si>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</si>
  <si>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</si>
  <si>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</si>
  <si>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</si>
  <si>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</si>
  <si>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</si>
  <si>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</si>
  <si>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</si>
  <si>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</si>
  <si>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</si>
  <si>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</si>
  <si>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</si>
  <si>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</si>
  <si>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</si>
  <si>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</si>
  <si>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</si>
  <si>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</si>
  <si>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</si>
  <si>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</si>
  <si>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</si>
  <si>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</si>
  <si>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</si>
  <si>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</si>
  <si>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</si>
  <si>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</si>
  <si>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</si>
  <si>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</si>
  <si>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</si>
  <si>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</si>
  <si>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</si>
  <si>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</si>
  <si>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</si>
  <si>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</si>
  <si>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</si>
  <si>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</si>
  <si>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</si>
  <si>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</si>
  <si>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</si>
  <si>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</si>
  <si>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</si>
  <si>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</si>
  <si>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</si>
  <si>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</si>
  <si>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</si>
  <si>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</si>
  <si>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</si>
  <si>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</si>
  <si>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</si>
  <si>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</si>
  <si>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</si>
  <si>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</si>
  <si>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</si>
  <si>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</si>
  <si>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</si>
  <si>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</si>
  <si>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</si>
  <si>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</si>
  <si>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</si>
  <si>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</si>
  <si>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</si>
  <si>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</si>
  <si>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</si>
  <si>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</si>
  <si>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</si>
  <si>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</si>
  <si>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</si>
  <si>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</si>
  <si>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</si>
  <si>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</si>
  <si>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</si>
  <si>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</si>
  <si>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</si>
  <si>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</si>
  <si>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</si>
  <si>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</si>
  <si>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</si>
  <si>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</si>
  <si>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</si>
  <si>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</si>
  <si>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</si>
  <si>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</si>
  <si>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</si>
  <si>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</si>
  <si>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</si>
  <si>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</si>
  <si>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</si>
  <si>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</si>
  <si>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</si>
  <si>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</si>
  <si>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</si>
  <si>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</si>
  <si>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</si>
  <si>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</si>
  <si>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</si>
  <si>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</si>
  <si>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</si>
  <si>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</si>
  <si>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</si>
  <si>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</si>
  <si>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</si>
  <si>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</si>
  <si>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</si>
  <si>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</si>
  <si>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</si>
  <si>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</si>
  <si>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</si>
  <si>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</si>
  <si>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</si>
  <si>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</si>
  <si>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</si>
  <si>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</si>
  <si>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</si>
  <si>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</si>
  <si>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</si>
  <si>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</si>
  <si>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</si>
  <si>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</si>
  <si>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</si>
  <si>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</si>
  <si>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</si>
  <si>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</si>
  <si>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</si>
  <si>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</si>
  <si>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</si>
  <si>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</si>
  <si>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</si>
  <si>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</si>
  <si>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</si>
  <si>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</si>
  <si>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</si>
  <si>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</si>
  <si>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</si>
  <si>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</si>
  <si>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</si>
  <si>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</si>
  <si>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</si>
  <si>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</si>
  <si>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</si>
  <si>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</si>
  <si>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</si>
  <si>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</si>
  <si>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</si>
  <si>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</si>
  <si>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</si>
  <si>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</si>
  <si>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</si>
  <si>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</si>
  <si>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</si>
  <si>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</si>
  <si>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</si>
  <si>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</si>
  <si>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</si>
  <si>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</si>
  <si>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</si>
  <si>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</si>
  <si>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</si>
  <si>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</si>
  <si>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</si>
  <si>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</si>
  <si>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</si>
  <si>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</si>
  <si>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</si>
  <si>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</si>
  <si>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</si>
  <si>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</si>
  <si>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</si>
  <si>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</si>
  <si>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</si>
  <si>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</si>
  <si>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</si>
  <si>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</si>
  <si>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</si>
  <si>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</si>
  <si>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</si>
  <si>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</si>
  <si>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</si>
  <si>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</si>
  <si>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</si>
  <si>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</si>
  <si>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</si>
  <si>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</si>
  <si>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</si>
  <si>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</si>
  <si>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</si>
  <si>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</si>
  <si>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</si>
  <si>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</si>
  <si>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</si>
  <si>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</si>
  <si>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</si>
  <si>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</si>
  <si>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</si>
  <si>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</si>
  <si>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</si>
  <si>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</si>
  <si>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</si>
  <si>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</si>
  <si>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</si>
  <si>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</si>
  <si>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</si>
  <si>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</si>
  <si>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</si>
  <si>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</si>
  <si>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</si>
  <si>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</si>
  <si>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</si>
  <si>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</si>
  <si>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</si>
  <si>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</si>
  <si>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</si>
  <si>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</si>
  <si>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</si>
  <si>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</si>
  <si>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</si>
  <si>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</si>
  <si>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</si>
  <si>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</si>
  <si>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</si>
  <si>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</si>
  <si>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</si>
  <si>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</si>
  <si>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</si>
  <si>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</si>
  <si>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</si>
  <si>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</si>
  <si>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</si>
  <si>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</si>
  <si>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</si>
  <si>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</si>
  <si>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</si>
  <si>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</si>
  <si>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</si>
  <si>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</si>
  <si>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</si>
  <si>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</si>
  <si>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</si>
  <si>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</si>
  <si>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</si>
  <si>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</si>
  <si>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</si>
  <si>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</si>
  <si>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</si>
  <si>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</si>
  <si>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</si>
  <si>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</si>
  <si>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</si>
  <si>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</si>
  <si>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</si>
  <si>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</si>
  <si>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</si>
  <si>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</si>
  <si>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</si>
  <si>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</si>
  <si>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</si>
  <si>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</si>
  <si>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</si>
  <si>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</si>
  <si>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</si>
  <si>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</si>
  <si>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</si>
  <si>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</si>
  <si>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</si>
  <si>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</si>
  <si>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</si>
  <si>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</si>
  <si>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</si>
  <si>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</si>
  <si>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</si>
  <si>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</si>
  <si>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</si>
  <si>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</si>
  <si>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</si>
  <si>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</si>
  <si>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</si>
  <si>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</si>
  <si>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</si>
  <si>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</si>
  <si>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</si>
  <si>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</si>
  <si>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</si>
  <si>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</si>
  <si>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</si>
  <si>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</si>
  <si>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</si>
  <si>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</si>
  <si>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</si>
  <si>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</si>
  <si>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</si>
  <si>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</si>
  <si>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</si>
  <si>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</si>
  <si>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</si>
  <si>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</si>
  <si>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</si>
  <si>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</si>
  <si>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</si>
  <si>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</si>
  <si>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</si>
  <si>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</si>
  <si>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</si>
  <si>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</si>
  <si>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</si>
  <si>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</si>
  <si>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</si>
  <si>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</si>
  <si>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</si>
  <si>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</si>
  <si>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</si>
  <si>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</si>
  <si>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</si>
  <si>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</si>
  <si>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</si>
  <si>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</si>
  <si>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</si>
  <si>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</si>
  <si>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</si>
  <si>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</si>
  <si>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</si>
  <si>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</si>
  <si>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</si>
  <si>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</si>
  <si>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</si>
  <si>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</si>
  <si>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</si>
  <si>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</si>
  <si>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</si>
  <si>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</si>
  <si>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</si>
  <si>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</si>
  <si>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</si>
  <si>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</si>
  <si>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</si>
  <si>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</si>
  <si>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</si>
  <si>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</si>
  <si>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</si>
  <si>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</si>
  <si>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</si>
  <si>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</si>
  <si>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</si>
  <si>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</si>
  <si>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</si>
  <si>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</si>
  <si>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</si>
  <si>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</si>
  <si>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</si>
  <si>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</si>
  <si>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</si>
  <si>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</si>
  <si>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</si>
  <si>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</si>
  <si>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</si>
  <si>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</si>
  <si>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</si>
  <si>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</si>
  <si>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</si>
  <si>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</si>
  <si>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</si>
  <si>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</si>
  <si>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</si>
  <si>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</si>
  <si>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</si>
  <si>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</si>
  <si>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</si>
  <si>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</si>
  <si>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</si>
  <si>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</si>
  <si>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</si>
  <si>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</si>
  <si>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</si>
  <si>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</si>
  <si>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</si>
  <si>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</si>
  <si>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</si>
  <si>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</si>
  <si>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</si>
  <si>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</si>
  <si>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</si>
  <si>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</si>
  <si>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</si>
  <si>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</si>
  <si>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</si>
  <si>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</si>
  <si>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</si>
  <si>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</si>
  <si>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</si>
  <si>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</si>
  <si>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</si>
  <si>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</si>
  <si>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</si>
  <si>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</si>
  <si>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</si>
  <si>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</si>
  <si>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</si>
  <si>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</si>
  <si>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</si>
  <si>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</si>
  <si>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</si>
  <si>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</si>
  <si>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</si>
  <si>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</si>
  <si>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</si>
  <si>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</si>
  <si>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</si>
  <si>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</si>
  <si>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</si>
  <si>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</si>
  <si>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</si>
  <si>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</si>
  <si>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</si>
  <si>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</si>
  <si>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</si>
  <si>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</si>
  <si>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</si>
  <si>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</si>
  <si>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</si>
  <si>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</si>
  <si>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</si>
  <si>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</si>
  <si>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</si>
  <si>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</si>
  <si>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</si>
  <si>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</si>
  <si>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</si>
  <si>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</si>
  <si>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</si>
  <si>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</si>
  <si>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</si>
  <si>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</si>
  <si>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</si>
  <si>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</si>
  <si>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</si>
  <si>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</si>
  <si>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</si>
  <si>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</si>
  <si>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</si>
  <si>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</si>
  <si>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</si>
  <si>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</si>
  <si>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</si>
  <si>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</si>
  <si>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</si>
  <si>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</si>
  <si>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</si>
  <si>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</si>
  <si>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</si>
  <si>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</si>
  <si>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</si>
  <si>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</si>
  <si>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</si>
  <si>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</si>
  <si>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</si>
  <si>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</si>
  <si>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</si>
  <si>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</si>
  <si>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</si>
  <si>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</si>
  <si>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</si>
  <si>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</si>
  <si>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</si>
  <si>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</si>
  <si>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</si>
  <si>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</si>
  <si>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</si>
  <si>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</si>
  <si>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</si>
  <si>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</si>
  <si>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</si>
  <si>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</si>
  <si>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</si>
  <si>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</si>
  <si>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</si>
  <si>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</si>
  <si>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</si>
  <si>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</si>
  <si>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</si>
  <si>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</si>
  <si>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</si>
  <si>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</si>
  <si>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</si>
  <si>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</si>
  <si>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</si>
  <si>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</si>
  <si>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</si>
  <si>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</si>
  <si>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</si>
  <si>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</si>
  <si>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</si>
  <si>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</si>
  <si>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</si>
  <si>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</si>
  <si>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</si>
  <si>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</si>
  <si>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</si>
  <si>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</si>
  <si>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</si>
  <si>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</si>
  <si>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</si>
  <si>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</si>
  <si>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</si>
  <si>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</si>
  <si>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</si>
  <si>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</si>
  <si>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</si>
  <si>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</si>
  <si>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</si>
  <si>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</si>
  <si>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</si>
  <si>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</si>
  <si>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</si>
  <si>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</si>
  <si>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</si>
  <si>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</si>
  <si>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</si>
  <si>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</si>
  <si>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</si>
  <si>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</si>
  <si>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</si>
  <si>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</si>
  <si>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</si>
  <si>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</si>
  <si>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</si>
  <si>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</si>
  <si>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</si>
  <si>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</si>
  <si>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</si>
  <si>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</si>
  <si>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</si>
  <si>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</si>
  <si>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</si>
  <si>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</si>
  <si>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</si>
  <si>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</si>
  <si>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</si>
  <si>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</si>
  <si>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</si>
  <si>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</si>
  <si>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</si>
  <si>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</si>
  <si>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</si>
  <si>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</si>
  <si>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</si>
  <si>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</si>
  <si>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</si>
  <si>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</si>
  <si>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</si>
  <si>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</si>
  <si>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</si>
  <si>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</si>
  <si>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</si>
  <si>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</si>
  <si>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</si>
  <si>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</si>
  <si>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</si>
  <si>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</si>
  <si>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</si>
  <si>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</si>
  <si>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</si>
  <si>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</si>
  <si>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</si>
  <si>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</si>
  <si>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</si>
  <si>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</si>
  <si>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</si>
  <si>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</si>
  <si>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</si>
  <si>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</si>
  <si>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</si>
  <si>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</si>
  <si>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</si>
  <si>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</si>
  <si>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</si>
  <si>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</si>
  <si>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</si>
  <si>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</si>
  <si>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</si>
  <si>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</si>
  <si>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</si>
  <si>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</si>
  <si>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</si>
  <si>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</si>
  <si>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</si>
  <si>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</si>
  <si>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</si>
  <si>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</si>
  <si>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</si>
  <si>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</si>
  <si>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</si>
  <si>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</si>
  <si>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</si>
  <si>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</si>
  <si>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</si>
  <si>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</si>
  <si>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</si>
  <si>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</si>
  <si>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</si>
  <si>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</si>
  <si>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</si>
  <si>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</si>
  <si>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</si>
  <si>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</si>
  <si>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</si>
  <si>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</si>
  <si>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</si>
  <si>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</si>
  <si>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</si>
  <si>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</si>
  <si>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</si>
  <si>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</si>
  <si>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</si>
  <si>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</si>
  <si>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</si>
  <si>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</si>
  <si>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</si>
  <si>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</si>
  <si>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</si>
  <si>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</si>
  <si>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</si>
  <si>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</si>
  <si>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</si>
  <si>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</si>
  <si>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</si>
  <si>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</si>
  <si>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</si>
  <si>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</si>
  <si>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</si>
  <si>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</si>
  <si>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</si>
  <si>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</si>
  <si>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</si>
  <si>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</si>
  <si>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</si>
  <si>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</si>
  <si>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</si>
  <si>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</si>
  <si>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</si>
  <si>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</si>
  <si>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</si>
  <si>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</si>
  <si>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</si>
  <si>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</si>
  <si>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</si>
  <si>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</si>
  <si>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</si>
  <si>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</si>
  <si>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</si>
  <si>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</si>
  <si>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</si>
  <si>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</si>
  <si>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</si>
  <si>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</si>
  <si>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</si>
  <si>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</si>
  <si>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</si>
  <si>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</si>
  <si>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</si>
  <si>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</si>
  <si>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</si>
  <si>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</si>
  <si>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</si>
  <si>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</si>
  <si>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</si>
  <si>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</si>
  <si>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</si>
  <si>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</si>
  <si>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</si>
  <si>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</si>
  <si>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</si>
  <si>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</si>
  <si>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</si>
  <si>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</si>
  <si>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</si>
  <si>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</si>
  <si>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</si>
  <si>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</si>
  <si>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</si>
  <si>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</si>
  <si>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</si>
  <si>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</si>
  <si>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</si>
  <si>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</si>
  <si>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</si>
  <si>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</si>
  <si>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</si>
  <si>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</si>
  <si>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</si>
  <si>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</si>
  <si>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</si>
  <si>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</si>
  <si>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</si>
  <si>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</si>
  <si>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</si>
  <si>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</si>
  <si>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</si>
  <si>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</si>
  <si>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</si>
  <si>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</si>
  <si>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</si>
  <si>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</si>
  <si>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</si>
  <si>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</si>
  <si>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</si>
  <si>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</si>
  <si>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</si>
  <si>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</si>
  <si>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</si>
  <si>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</si>
  <si>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</si>
  <si>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</si>
  <si>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</si>
  <si>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</si>
  <si>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</si>
  <si>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</si>
  <si>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</si>
  <si>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</si>
  <si>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</si>
  <si>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</si>
  <si>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</si>
  <si>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</si>
  <si>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</si>
  <si>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</si>
  <si>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</si>
  <si>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</si>
  <si>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</si>
  <si>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</si>
  <si>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</si>
  <si>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</si>
  <si>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</si>
  <si>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</si>
  <si>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</si>
  <si>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</si>
  <si>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</si>
  <si>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</si>
  <si>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</si>
  <si>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</si>
  <si>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</si>
  <si>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</si>
  <si>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</si>
  <si>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</si>
  <si>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</si>
  <si>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</si>
  <si>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</si>
  <si>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</si>
  <si>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</si>
  <si>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</si>
  <si>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</si>
  <si>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</si>
  <si>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</si>
  <si>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</si>
  <si>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</si>
  <si>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</si>
  <si>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</si>
  <si>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</si>
  <si>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</si>
  <si>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</si>
  <si>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</si>
  <si>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</si>
  <si>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</si>
  <si>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</si>
  <si>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</si>
  <si>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</si>
  <si>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</si>
  <si>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</si>
  <si>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</si>
  <si>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</si>
  <si>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</si>
  <si>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</si>
  <si>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</si>
  <si>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</si>
  <si>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</si>
  <si>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</si>
  <si>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</si>
  <si>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</si>
  <si>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</si>
  <si>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</si>
  <si>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</si>
  <si>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</si>
  <si>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</si>
  <si>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</si>
  <si>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</si>
  <si>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</si>
  <si>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</si>
  <si>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</si>
  <si>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</si>
  <si>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</si>
  <si>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</si>
  <si>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</si>
  <si>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</si>
  <si>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</si>
  <si>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</si>
  <si>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</si>
  <si>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</si>
  <si>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</si>
  <si>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</si>
  <si>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</si>
  <si>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</si>
  <si>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</si>
  <si>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</si>
  <si>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</si>
  <si>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</si>
  <si>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</si>
  <si>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</si>
  <si>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</si>
  <si>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</si>
  <si>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</si>
  <si>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</si>
  <si>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</si>
  <si>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</si>
  <si>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</si>
  <si>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</si>
  <si>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</si>
  <si>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</si>
  <si>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</si>
  <si>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</si>
  <si>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</si>
  <si>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</si>
  <si>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</si>
  <si>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</si>
  <si>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</si>
  <si>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</si>
  <si>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</si>
  <si>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</si>
  <si>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</si>
  <si>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</si>
  <si>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</si>
  <si>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</si>
  <si>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</si>
  <si>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</si>
  <si>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</si>
  <si>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</si>
  <si>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</si>
  <si>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</si>
  <si>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</si>
  <si>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</si>
  <si>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</si>
  <si>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</si>
  <si>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</si>
  <si>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</si>
  <si>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</si>
  <si>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</si>
  <si>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</si>
  <si>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</si>
  <si>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</si>
  <si>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</si>
  <si>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</si>
  <si>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</si>
  <si>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</si>
  <si>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</si>
  <si>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</si>
  <si>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</si>
  <si>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</si>
  <si>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</si>
  <si>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</si>
  <si>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</si>
  <si>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</si>
  <si>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</si>
  <si>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</si>
  <si>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</si>
  <si>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</si>
  <si>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</si>
  <si>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</si>
  <si>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</si>
  <si>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</si>
  <si>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</si>
  <si>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</si>
  <si>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</si>
  <si>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</si>
  <si>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</si>
  <si>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</si>
  <si>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</si>
  <si>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</si>
  <si>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</si>
  <si>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1845 SVEUČILIŠTE U ZAGREBU - PREHRAMBENO BIOTEHNOLOŠKI FAKULTET</t>
  </si>
  <si>
    <t>Zagreb, 20. rujna 2019.</t>
  </si>
  <si>
    <t>Tomislav Vrdoljak, mag.oec.</t>
  </si>
  <si>
    <t>tvrdoljak@pbf.hr</t>
  </si>
  <si>
    <t>Razdjel/Glava      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</si>
</sst>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383</v>
      </c>
      <c r="C3" s="252" t="s">
        <v>1664</v>
      </c>
      <c r="D3" s="253"/>
      <c r="E3" s="254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5" t="s">
        <v>1665</v>
      </c>
      <c r="D4" s="256"/>
      <c r="E4" s="2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5" t="s">
        <v>1666</v>
      </c>
      <c r="D5" s="256"/>
      <c r="E5" s="257"/>
      <c r="F5" s="156"/>
      <c r="G5" s="156"/>
      <c r="H5" s="156"/>
      <c r="I5" s="156"/>
      <c r="J5" s="156"/>
      <c r="K5" s="158" t="s">
        <v>394</v>
      </c>
      <c r="L5" s="158" t="s">
        <v>808</v>
      </c>
      <c r="M5" s="158" t="s">
        <v>395</v>
      </c>
      <c r="N5" s="158" t="s">
        <v>396</v>
      </c>
      <c r="O5" s="158" t="s">
        <v>397</v>
      </c>
      <c r="P5" s="158" t="s">
        <v>398</v>
      </c>
      <c r="Q5" s="158" t="s">
        <v>399</v>
      </c>
      <c r="R5" s="158" t="s">
        <v>400</v>
      </c>
      <c r="S5" s="158" t="s">
        <v>401</v>
      </c>
      <c r="T5" s="158" t="s">
        <v>806</v>
      </c>
      <c r="U5" s="159" t="s">
        <v>239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5">
        <v>38514605175</v>
      </c>
      <c r="D6" s="256"/>
      <c r="E6" s="257"/>
      <c r="F6" s="156"/>
      <c r="G6" s="156"/>
      <c r="H6" s="156"/>
      <c r="I6" s="156"/>
      <c r="J6" s="156"/>
      <c r="K6" s="155">
        <v>0</v>
      </c>
      <c r="L6" s="155" t="s">
        <v>809</v>
      </c>
      <c r="T6" s="155" t="s">
        <v>835</v>
      </c>
      <c r="U6" s="155" t="s">
        <v>835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382</v>
      </c>
      <c r="C7" s="255" t="s">
        <v>1667</v>
      </c>
      <c r="D7" s="256"/>
      <c r="E7" s="257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404</v>
      </c>
      <c r="O7" s="163" t="s">
        <v>404</v>
      </c>
      <c r="P7" s="163" t="s">
        <v>405</v>
      </c>
      <c r="Q7" s="163" t="s">
        <v>406</v>
      </c>
      <c r="R7" s="164">
        <v>3049779</v>
      </c>
      <c r="S7" s="165" t="s">
        <v>407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408</v>
      </c>
      <c r="O8" s="163" t="s">
        <v>404</v>
      </c>
      <c r="P8" s="163" t="s">
        <v>409</v>
      </c>
      <c r="Q8" s="163" t="s">
        <v>406</v>
      </c>
      <c r="R8" s="164">
        <v>3021645</v>
      </c>
      <c r="S8" s="165" t="s">
        <v>410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0" t="s">
        <v>841</v>
      </c>
      <c r="C9" s="259"/>
      <c r="D9" s="259"/>
      <c r="E9" s="259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411</v>
      </c>
      <c r="O9" s="163" t="s">
        <v>404</v>
      </c>
      <c r="P9" s="163" t="s">
        <v>412</v>
      </c>
      <c r="Q9" s="163" t="s">
        <v>406</v>
      </c>
      <c r="R9" s="164">
        <v>3392589</v>
      </c>
      <c r="S9" s="165" t="s">
        <v>413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0" t="s">
        <v>3</v>
      </c>
      <c r="C10" s="259"/>
      <c r="D10" s="259"/>
      <c r="E10" s="259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414</v>
      </c>
      <c r="O10" s="163" t="s">
        <v>404</v>
      </c>
      <c r="P10" s="163" t="s">
        <v>415</v>
      </c>
      <c r="Q10" s="163" t="s">
        <v>406</v>
      </c>
      <c r="R10" s="164">
        <v>3014185</v>
      </c>
      <c r="S10" s="165" t="s">
        <v>416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8"/>
      <c r="C11" s="259"/>
      <c r="D11" s="259"/>
      <c r="E11" s="259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417</v>
      </c>
      <c r="O11" s="163" t="s">
        <v>404</v>
      </c>
      <c r="P11" s="167" t="s">
        <v>418</v>
      </c>
      <c r="Q11" s="167" t="s">
        <v>406</v>
      </c>
      <c r="R11" s="168">
        <v>3014347</v>
      </c>
      <c r="S11" s="165" t="s">
        <v>419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420</v>
      </c>
      <c r="O12" s="163" t="s">
        <v>404</v>
      </c>
      <c r="P12" s="163" t="s">
        <v>421</v>
      </c>
      <c r="Q12" s="163" t="s">
        <v>406</v>
      </c>
      <c r="R12" s="164">
        <v>3397335</v>
      </c>
      <c r="S12" s="165" t="s">
        <v>422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836</v>
      </c>
      <c r="D13" s="170" t="s">
        <v>837</v>
      </c>
      <c r="E13" s="170" t="s">
        <v>838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423</v>
      </c>
      <c r="O13" s="163" t="s">
        <v>404</v>
      </c>
      <c r="P13" s="163" t="s">
        <v>424</v>
      </c>
      <c r="Q13" s="163" t="s">
        <v>406</v>
      </c>
      <c r="R13" s="164">
        <v>1388142</v>
      </c>
      <c r="S13" s="165" t="s">
        <v>425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71510082</v>
      </c>
      <c r="D14" s="173">
        <f>+D15+D16</f>
        <v>73986717.340000004</v>
      </c>
      <c r="E14" s="173">
        <f>+E15+E16</f>
        <v>74294887.382344007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426</v>
      </c>
      <c r="O14" s="163" t="s">
        <v>404</v>
      </c>
      <c r="P14" s="163" t="s">
        <v>427</v>
      </c>
      <c r="Q14" s="163" t="s">
        <v>406</v>
      </c>
      <c r="R14" s="164">
        <v>3058212</v>
      </c>
      <c r="S14" s="165" t="s">
        <v>428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71504582</v>
      </c>
      <c r="D15" s="176">
        <f>'PLAN PRIHODA I PRIMITAKA '!C62</f>
        <v>73981217.340000004</v>
      </c>
      <c r="E15" s="176">
        <f>'PLAN PRIHODA I PRIMITAKA '!C98</f>
        <v>74289387.382344007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429</v>
      </c>
      <c r="O15" s="163" t="s">
        <v>404</v>
      </c>
      <c r="P15" s="163" t="s">
        <v>430</v>
      </c>
      <c r="Q15" s="163" t="s">
        <v>431</v>
      </c>
      <c r="R15" s="164">
        <v>3014193</v>
      </c>
      <c r="S15" s="165" t="s">
        <v>432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5500</v>
      </c>
      <c r="D16" s="176">
        <f>'PLAN PRIHODA I PRIMITAKA '!C69</f>
        <v>5500</v>
      </c>
      <c r="E16" s="176">
        <f>'PLAN PRIHODA I PRIMITAKA '!C105</f>
        <v>5500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433</v>
      </c>
      <c r="O16" s="163" t="s">
        <v>404</v>
      </c>
      <c r="P16" s="163" t="s">
        <v>434</v>
      </c>
      <c r="Q16" s="163" t="s">
        <v>406</v>
      </c>
      <c r="R16" s="164">
        <v>3058204</v>
      </c>
      <c r="S16" s="165" t="s">
        <v>435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71510082</v>
      </c>
      <c r="D17" s="180">
        <f>+D18+D19</f>
        <v>73986717</v>
      </c>
      <c r="E17" s="180">
        <f>+E18+E19</f>
        <v>74294887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436</v>
      </c>
      <c r="O17" s="163" t="s">
        <v>404</v>
      </c>
      <c r="P17" s="163" t="s">
        <v>437</v>
      </c>
      <c r="Q17" s="163" t="s">
        <v>438</v>
      </c>
      <c r="R17" s="164">
        <v>3458091</v>
      </c>
      <c r="S17" s="165" t="s">
        <v>439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65214529</v>
      </c>
      <c r="D18" s="182">
        <f>'PLAN RASHODA I IZDATAKA'!C72</f>
        <v>67737532</v>
      </c>
      <c r="E18" s="182">
        <f>'PLAN RASHODA I IZDATAKA'!C92</f>
        <v>68029032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440</v>
      </c>
      <c r="O18" s="163" t="s">
        <v>404</v>
      </c>
      <c r="P18" s="163" t="s">
        <v>441</v>
      </c>
      <c r="Q18" s="163" t="s">
        <v>406</v>
      </c>
      <c r="R18" s="164">
        <v>1404881</v>
      </c>
      <c r="S18" s="165" t="s">
        <v>442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6295553</v>
      </c>
      <c r="D19" s="182">
        <f>'PLAN RASHODA I IZDATAKA'!C80</f>
        <v>6249185</v>
      </c>
      <c r="E19" s="182">
        <f>'PLAN RASHODA I IZDATAKA'!C100</f>
        <v>6265855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443</v>
      </c>
      <c r="O19" s="163" t="s">
        <v>404</v>
      </c>
      <c r="P19" s="163" t="s">
        <v>444</v>
      </c>
      <c r="Q19" s="163" t="s">
        <v>445</v>
      </c>
      <c r="R19" s="164">
        <v>1986490</v>
      </c>
      <c r="S19" s="165" t="s">
        <v>446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0.34000000357627869</v>
      </c>
      <c r="E20" s="173">
        <f>+E14-E17</f>
        <v>0.38234400749206543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447</v>
      </c>
      <c r="O20" s="163" t="s">
        <v>404</v>
      </c>
      <c r="P20" s="163" t="s">
        <v>448</v>
      </c>
      <c r="Q20" s="163" t="s">
        <v>406</v>
      </c>
      <c r="R20" s="164">
        <v>4748875</v>
      </c>
      <c r="S20" s="165" t="s">
        <v>449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8"/>
      <c r="C21" s="259"/>
      <c r="D21" s="259"/>
      <c r="E21" s="259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450</v>
      </c>
      <c r="O21" s="163" t="s">
        <v>404</v>
      </c>
      <c r="P21" s="163" t="s">
        <v>451</v>
      </c>
      <c r="Q21" s="163" t="s">
        <v>406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836</v>
      </c>
      <c r="D22" s="170" t="s">
        <v>837</v>
      </c>
      <c r="E22" s="170" t="s">
        <v>838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452</v>
      </c>
      <c r="O22" s="163" t="s">
        <v>452</v>
      </c>
      <c r="P22" s="163" t="s">
        <v>453</v>
      </c>
      <c r="Q22" s="163" t="s">
        <v>454</v>
      </c>
      <c r="R22" s="164">
        <v>2161753</v>
      </c>
      <c r="S22" s="165" t="s">
        <v>455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2182125</v>
      </c>
      <c r="D23" s="181">
        <f>'PLAN PRIHODA I PRIMITAKA '!C41</f>
        <v>2182125</v>
      </c>
      <c r="E23" s="181">
        <f>'PLAN PRIHODA I PRIMITAKA '!C77</f>
        <v>2182125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456</v>
      </c>
      <c r="O23" s="163" t="s">
        <v>456</v>
      </c>
      <c r="P23" s="163" t="s">
        <v>457</v>
      </c>
      <c r="Q23" s="163" t="s">
        <v>458</v>
      </c>
      <c r="R23" s="164">
        <v>2752298</v>
      </c>
      <c r="S23" s="165" t="s">
        <v>459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-2182125</v>
      </c>
      <c r="D24" s="185">
        <f>'PLAN PRIHODA I PRIMITAKA '!C43</f>
        <v>-2182125</v>
      </c>
      <c r="E24" s="186">
        <f>'PLAN PRIHODA I PRIMITAKA '!C79</f>
        <v>-2182125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460</v>
      </c>
      <c r="O24" s="163" t="s">
        <v>460</v>
      </c>
      <c r="P24" s="163" t="s">
        <v>461</v>
      </c>
      <c r="Q24" s="163" t="s">
        <v>462</v>
      </c>
      <c r="R24" s="164">
        <v>1787578</v>
      </c>
      <c r="S24" s="165" t="s">
        <v>463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8"/>
      <c r="C25" s="259"/>
      <c r="D25" s="259"/>
      <c r="E25" s="259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464</v>
      </c>
      <c r="O25" s="163" t="s">
        <v>464</v>
      </c>
      <c r="P25" s="163" t="s">
        <v>465</v>
      </c>
      <c r="Q25" s="163" t="s">
        <v>466</v>
      </c>
      <c r="R25" s="164">
        <v>1695525</v>
      </c>
      <c r="S25" s="165" t="s">
        <v>467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836</v>
      </c>
      <c r="D26" s="170" t="s">
        <v>837</v>
      </c>
      <c r="E26" s="170" t="s">
        <v>838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468</v>
      </c>
      <c r="O26" s="163" t="s">
        <v>468</v>
      </c>
      <c r="P26" s="163" t="s">
        <v>469</v>
      </c>
      <c r="Q26" s="163" t="s">
        <v>470</v>
      </c>
      <c r="R26" s="164">
        <v>3337413</v>
      </c>
      <c r="S26" s="165" t="s">
        <v>471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472</v>
      </c>
      <c r="O27" s="163" t="s">
        <v>468</v>
      </c>
      <c r="P27" s="163" t="s">
        <v>473</v>
      </c>
      <c r="Q27" s="163" t="s">
        <v>470</v>
      </c>
      <c r="R27" s="164">
        <v>1954253</v>
      </c>
      <c r="S27" s="165" t="s">
        <v>474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475</v>
      </c>
      <c r="O28" s="163" t="s">
        <v>468</v>
      </c>
      <c r="P28" s="163" t="s">
        <v>476</v>
      </c>
      <c r="Q28" s="163" t="s">
        <v>470</v>
      </c>
      <c r="R28" s="164">
        <v>3328627</v>
      </c>
      <c r="S28" s="165" t="s">
        <v>477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478</v>
      </c>
      <c r="O29" s="163" t="s">
        <v>468</v>
      </c>
      <c r="P29" s="163" t="s">
        <v>479</v>
      </c>
      <c r="Q29" s="163" t="s">
        <v>480</v>
      </c>
      <c r="R29" s="164">
        <v>3091732</v>
      </c>
      <c r="S29" s="165" t="s">
        <v>481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8"/>
      <c r="C30" s="259"/>
      <c r="D30" s="259"/>
      <c r="E30" s="259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482</v>
      </c>
      <c r="O30" s="163" t="s">
        <v>468</v>
      </c>
      <c r="P30" s="163" t="s">
        <v>483</v>
      </c>
      <c r="Q30" s="163" t="s">
        <v>470</v>
      </c>
      <c r="R30" s="164">
        <v>3368491</v>
      </c>
      <c r="S30" s="165" t="s">
        <v>484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0.34000000357627869</v>
      </c>
      <c r="E31" s="190">
        <f>+E20+E23+E24+E29</f>
        <v>0.38234400749206543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485</v>
      </c>
      <c r="O31" s="163" t="s">
        <v>468</v>
      </c>
      <c r="P31" s="163" t="s">
        <v>486</v>
      </c>
      <c r="Q31" s="163" t="s">
        <v>470</v>
      </c>
      <c r="R31" s="164">
        <v>3395855</v>
      </c>
      <c r="S31" s="165" t="s">
        <v>487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488</v>
      </c>
      <c r="O32" s="163" t="s">
        <v>468</v>
      </c>
      <c r="P32" s="163" t="s">
        <v>489</v>
      </c>
      <c r="Q32" s="163" t="s">
        <v>470</v>
      </c>
      <c r="R32" s="164">
        <v>3328554</v>
      </c>
      <c r="S32" s="165" t="s">
        <v>490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491</v>
      </c>
      <c r="O33" s="163" t="s">
        <v>468</v>
      </c>
      <c r="P33" s="163" t="s">
        <v>492</v>
      </c>
      <c r="Q33" s="163" t="s">
        <v>470</v>
      </c>
      <c r="R33" s="164">
        <v>1580485</v>
      </c>
      <c r="S33" s="165" t="s">
        <v>493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494</v>
      </c>
      <c r="O34" s="163" t="s">
        <v>468</v>
      </c>
      <c r="P34" s="163" t="s">
        <v>495</v>
      </c>
      <c r="Q34" s="163" t="s">
        <v>470</v>
      </c>
      <c r="R34" s="164">
        <v>3328562</v>
      </c>
      <c r="S34" s="165" t="s">
        <v>496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497</v>
      </c>
      <c r="O35" s="163" t="s">
        <v>468</v>
      </c>
      <c r="P35" s="163" t="s">
        <v>498</v>
      </c>
      <c r="Q35" s="163" t="s">
        <v>470</v>
      </c>
      <c r="R35" s="164">
        <v>3328686</v>
      </c>
      <c r="S35" s="165" t="s">
        <v>499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500</v>
      </c>
      <c r="O36" s="163" t="s">
        <v>468</v>
      </c>
      <c r="P36" s="163" t="s">
        <v>501</v>
      </c>
      <c r="Q36" s="163" t="s">
        <v>470</v>
      </c>
      <c r="R36" s="164">
        <v>3334317</v>
      </c>
      <c r="S36" s="165" t="s">
        <v>502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503</v>
      </c>
      <c r="O37" s="163" t="s">
        <v>468</v>
      </c>
      <c r="P37" s="163" t="s">
        <v>504</v>
      </c>
      <c r="Q37" s="163" t="s">
        <v>470</v>
      </c>
      <c r="R37" s="164">
        <v>2116073</v>
      </c>
      <c r="S37" s="165" t="s">
        <v>505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506</v>
      </c>
      <c r="O38" s="163" t="s">
        <v>468</v>
      </c>
      <c r="P38" s="163" t="s">
        <v>507</v>
      </c>
      <c r="Q38" s="163" t="s">
        <v>470</v>
      </c>
      <c r="R38" s="194" t="s">
        <v>508</v>
      </c>
      <c r="S38" s="165" t="s">
        <v>509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510</v>
      </c>
      <c r="O39" s="163" t="s">
        <v>510</v>
      </c>
      <c r="P39" s="163" t="s">
        <v>511</v>
      </c>
      <c r="Q39" s="163" t="s">
        <v>512</v>
      </c>
      <c r="R39" s="164">
        <v>3129306</v>
      </c>
      <c r="S39" s="165" t="s">
        <v>513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514</v>
      </c>
      <c r="O40" s="163" t="s">
        <v>510</v>
      </c>
      <c r="P40" s="163" t="s">
        <v>515</v>
      </c>
      <c r="Q40" s="163" t="s">
        <v>512</v>
      </c>
      <c r="R40" s="164">
        <v>3119076</v>
      </c>
      <c r="S40" s="165" t="s">
        <v>516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517</v>
      </c>
      <c r="O41" s="163" t="s">
        <v>510</v>
      </c>
      <c r="P41" s="163" t="s">
        <v>518</v>
      </c>
      <c r="Q41" s="163" t="s">
        <v>512</v>
      </c>
      <c r="R41" s="164">
        <v>3118339</v>
      </c>
      <c r="S41" s="165" t="s">
        <v>519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520</v>
      </c>
      <c r="O42" s="163" t="s">
        <v>510</v>
      </c>
      <c r="P42" s="163" t="s">
        <v>521</v>
      </c>
      <c r="Q42" s="163" t="s">
        <v>512</v>
      </c>
      <c r="R42" s="164">
        <v>1413236</v>
      </c>
      <c r="S42" s="165" t="s">
        <v>522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523</v>
      </c>
      <c r="O43" s="163" t="s">
        <v>510</v>
      </c>
      <c r="P43" s="163" t="s">
        <v>524</v>
      </c>
      <c r="Q43" s="163" t="s">
        <v>512</v>
      </c>
      <c r="R43" s="164">
        <v>3149463</v>
      </c>
      <c r="S43" s="165" t="s">
        <v>525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526</v>
      </c>
      <c r="O44" s="163" t="s">
        <v>510</v>
      </c>
      <c r="P44" s="163" t="s">
        <v>527</v>
      </c>
      <c r="Q44" s="163" t="s">
        <v>512</v>
      </c>
      <c r="R44" s="164">
        <v>3119068</v>
      </c>
      <c r="S44" s="165" t="s">
        <v>528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529</v>
      </c>
      <c r="O45" s="163" t="s">
        <v>510</v>
      </c>
      <c r="P45" s="163" t="s">
        <v>530</v>
      </c>
      <c r="Q45" s="163" t="s">
        <v>512</v>
      </c>
      <c r="R45" s="164">
        <v>2393255</v>
      </c>
      <c r="S45" s="165" t="s">
        <v>531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532</v>
      </c>
      <c r="O46" s="163" t="s">
        <v>510</v>
      </c>
      <c r="P46" s="163" t="s">
        <v>533</v>
      </c>
      <c r="Q46" s="163" t="s">
        <v>512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534</v>
      </c>
      <c r="O47" s="163" t="s">
        <v>510</v>
      </c>
      <c r="P47" s="163" t="s">
        <v>535</v>
      </c>
      <c r="Q47" s="163" t="s">
        <v>512</v>
      </c>
      <c r="R47" s="164">
        <v>1315366</v>
      </c>
      <c r="S47" s="165" t="s">
        <v>536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537</v>
      </c>
      <c r="O48" s="163" t="s">
        <v>510</v>
      </c>
      <c r="P48" s="163" t="s">
        <v>538</v>
      </c>
      <c r="Q48" s="163" t="s">
        <v>512</v>
      </c>
      <c r="R48" s="164">
        <v>1406043</v>
      </c>
      <c r="S48" s="165" t="s">
        <v>539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540</v>
      </c>
      <c r="O49" s="163" t="s">
        <v>510</v>
      </c>
      <c r="P49" s="163" t="s">
        <v>541</v>
      </c>
      <c r="Q49" s="163" t="s">
        <v>512</v>
      </c>
      <c r="R49" s="164">
        <v>3118347</v>
      </c>
      <c r="S49" s="165" t="s">
        <v>542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543</v>
      </c>
      <c r="O50" s="163" t="s">
        <v>510</v>
      </c>
      <c r="P50" s="163" t="s">
        <v>544</v>
      </c>
      <c r="Q50" s="163" t="s">
        <v>512</v>
      </c>
      <c r="R50" s="164">
        <v>3199622</v>
      </c>
      <c r="S50" s="165" t="s">
        <v>545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546</v>
      </c>
      <c r="O51" s="163" t="s">
        <v>510</v>
      </c>
      <c r="P51" s="163" t="s">
        <v>547</v>
      </c>
      <c r="Q51" s="163" t="s">
        <v>512</v>
      </c>
      <c r="R51" s="164">
        <v>3118436</v>
      </c>
      <c r="S51" s="165" t="s">
        <v>548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549</v>
      </c>
      <c r="O52" s="163" t="s">
        <v>510</v>
      </c>
      <c r="P52" s="163" t="s">
        <v>550</v>
      </c>
      <c r="Q52" s="163" t="s">
        <v>512</v>
      </c>
      <c r="R52" s="164">
        <v>1321358</v>
      </c>
      <c r="S52" s="165" t="s">
        <v>551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552</v>
      </c>
      <c r="O53" s="163" t="s">
        <v>510</v>
      </c>
      <c r="P53" s="163" t="s">
        <v>553</v>
      </c>
      <c r="Q53" s="163" t="s">
        <v>403</v>
      </c>
      <c r="R53" s="164">
        <v>3211592</v>
      </c>
      <c r="S53" s="165" t="s">
        <v>554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555</v>
      </c>
      <c r="O54" s="163" t="s">
        <v>510</v>
      </c>
      <c r="P54" s="163" t="s">
        <v>556</v>
      </c>
      <c r="Q54" s="163" t="s">
        <v>403</v>
      </c>
      <c r="R54" s="164">
        <v>3283097</v>
      </c>
      <c r="S54" s="165" t="s">
        <v>557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558</v>
      </c>
      <c r="O55" s="163" t="s">
        <v>510</v>
      </c>
      <c r="P55" s="163" t="s">
        <v>559</v>
      </c>
      <c r="Q55" s="163" t="s">
        <v>403</v>
      </c>
      <c r="R55" s="164">
        <v>3205029</v>
      </c>
      <c r="S55" s="165" t="s">
        <v>560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561</v>
      </c>
      <c r="O56" s="163" t="s">
        <v>510</v>
      </c>
      <c r="P56" s="163" t="s">
        <v>562</v>
      </c>
      <c r="Q56" s="163" t="s">
        <v>403</v>
      </c>
      <c r="R56" s="164">
        <v>3207919</v>
      </c>
      <c r="S56" s="165" t="s">
        <v>563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564</v>
      </c>
      <c r="O57" s="163" t="s">
        <v>510</v>
      </c>
      <c r="P57" s="163" t="s">
        <v>565</v>
      </c>
      <c r="Q57" s="163" t="s">
        <v>403</v>
      </c>
      <c r="R57" s="164">
        <v>3204952</v>
      </c>
      <c r="S57" s="165" t="s">
        <v>566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567</v>
      </c>
      <c r="O58" s="163" t="s">
        <v>510</v>
      </c>
      <c r="P58" s="163" t="s">
        <v>568</v>
      </c>
      <c r="Q58" s="163" t="s">
        <v>403</v>
      </c>
      <c r="R58" s="164">
        <v>3219780</v>
      </c>
      <c r="S58" s="165" t="s">
        <v>569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570</v>
      </c>
      <c r="O59" s="163" t="s">
        <v>510</v>
      </c>
      <c r="P59" s="163" t="s">
        <v>571</v>
      </c>
      <c r="Q59" s="163" t="s">
        <v>403</v>
      </c>
      <c r="R59" s="164">
        <v>3272079</v>
      </c>
      <c r="S59" s="165" t="s">
        <v>572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573</v>
      </c>
      <c r="O60" s="163" t="s">
        <v>510</v>
      </c>
      <c r="P60" s="163" t="s">
        <v>574</v>
      </c>
      <c r="Q60" s="163" t="s">
        <v>403</v>
      </c>
      <c r="R60" s="164">
        <v>3276643</v>
      </c>
      <c r="S60" s="165" t="s">
        <v>575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576</v>
      </c>
      <c r="O61" s="163" t="s">
        <v>510</v>
      </c>
      <c r="P61" s="163" t="s">
        <v>577</v>
      </c>
      <c r="Q61" s="163" t="s">
        <v>403</v>
      </c>
      <c r="R61" s="164">
        <v>1235664</v>
      </c>
      <c r="S61" s="165" t="s">
        <v>578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579</v>
      </c>
      <c r="O62" s="163" t="s">
        <v>510</v>
      </c>
      <c r="P62" s="163" t="s">
        <v>580</v>
      </c>
      <c r="Q62" s="163" t="s">
        <v>403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581</v>
      </c>
      <c r="O63" s="163" t="s">
        <v>510</v>
      </c>
      <c r="P63" s="163" t="s">
        <v>582</v>
      </c>
      <c r="Q63" s="163" t="s">
        <v>403</v>
      </c>
      <c r="R63" s="164">
        <v>3250270</v>
      </c>
      <c r="S63" s="165" t="s">
        <v>583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584</v>
      </c>
      <c r="O64" s="163" t="s">
        <v>510</v>
      </c>
      <c r="P64" s="163" t="s">
        <v>585</v>
      </c>
      <c r="Q64" s="163" t="s">
        <v>403</v>
      </c>
      <c r="R64" s="164">
        <v>3270262</v>
      </c>
      <c r="S64" s="165" t="s">
        <v>586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587</v>
      </c>
      <c r="O65" s="163" t="s">
        <v>510</v>
      </c>
      <c r="P65" s="163" t="s">
        <v>588</v>
      </c>
      <c r="Q65" s="163" t="s">
        <v>403</v>
      </c>
      <c r="R65" s="164">
        <v>3260771</v>
      </c>
      <c r="S65" s="165" t="s">
        <v>589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590</v>
      </c>
      <c r="O66" s="163" t="s">
        <v>510</v>
      </c>
      <c r="P66" s="163" t="s">
        <v>591</v>
      </c>
      <c r="Q66" s="163" t="s">
        <v>403</v>
      </c>
      <c r="R66" s="164">
        <v>3276546</v>
      </c>
      <c r="S66" s="165" t="s">
        <v>592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593</v>
      </c>
      <c r="O67" s="163" t="s">
        <v>510</v>
      </c>
      <c r="P67" s="163" t="s">
        <v>594</v>
      </c>
      <c r="Q67" s="163" t="s">
        <v>403</v>
      </c>
      <c r="R67" s="164">
        <v>3205037</v>
      </c>
      <c r="S67" s="165" t="s">
        <v>595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596</v>
      </c>
      <c r="O68" s="163" t="s">
        <v>510</v>
      </c>
      <c r="P68" s="163" t="s">
        <v>597</v>
      </c>
      <c r="Q68" s="163" t="s">
        <v>403</v>
      </c>
      <c r="R68" s="164">
        <v>3254852</v>
      </c>
      <c r="S68" s="165" t="s">
        <v>598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599</v>
      </c>
      <c r="O69" s="163" t="s">
        <v>510</v>
      </c>
      <c r="P69" s="163" t="s">
        <v>600</v>
      </c>
      <c r="Q69" s="163" t="s">
        <v>403</v>
      </c>
      <c r="R69" s="164">
        <v>3204987</v>
      </c>
      <c r="S69" s="165" t="s">
        <v>601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602</v>
      </c>
      <c r="O70" s="163" t="s">
        <v>510</v>
      </c>
      <c r="P70" s="163" t="s">
        <v>603</v>
      </c>
      <c r="Q70" s="163" t="s">
        <v>604</v>
      </c>
      <c r="R70" s="164">
        <v>3042316</v>
      </c>
      <c r="S70" s="165" t="s">
        <v>605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606</v>
      </c>
      <c r="O71" s="163" t="s">
        <v>510</v>
      </c>
      <c r="P71" s="163" t="s">
        <v>607</v>
      </c>
      <c r="Q71" s="163" t="s">
        <v>403</v>
      </c>
      <c r="R71" s="164">
        <v>3227120</v>
      </c>
      <c r="S71" s="165" t="s">
        <v>608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609</v>
      </c>
      <c r="O72" s="163" t="s">
        <v>510</v>
      </c>
      <c r="P72" s="163" t="s">
        <v>610</v>
      </c>
      <c r="Q72" s="163" t="s">
        <v>403</v>
      </c>
      <c r="R72" s="164">
        <v>3219763</v>
      </c>
      <c r="S72" s="165" t="s">
        <v>611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612</v>
      </c>
      <c r="O73" s="163" t="s">
        <v>510</v>
      </c>
      <c r="P73" s="163" t="s">
        <v>613</v>
      </c>
      <c r="Q73" s="163" t="s">
        <v>403</v>
      </c>
      <c r="R73" s="164">
        <v>3274080</v>
      </c>
      <c r="S73" s="165" t="s">
        <v>614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615</v>
      </c>
      <c r="O74" s="163" t="s">
        <v>510</v>
      </c>
      <c r="P74" s="163" t="s">
        <v>616</v>
      </c>
      <c r="Q74" s="163" t="s">
        <v>403</v>
      </c>
      <c r="R74" s="164">
        <v>3270211</v>
      </c>
      <c r="S74" s="165" t="s">
        <v>617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618</v>
      </c>
      <c r="O75" s="163" t="s">
        <v>510</v>
      </c>
      <c r="P75" s="163" t="s">
        <v>619</v>
      </c>
      <c r="Q75" s="163" t="s">
        <v>620</v>
      </c>
      <c r="R75" s="164">
        <v>3313786</v>
      </c>
      <c r="S75" s="165" t="s">
        <v>621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622</v>
      </c>
      <c r="O76" s="163" t="s">
        <v>510</v>
      </c>
      <c r="P76" s="163" t="s">
        <v>623</v>
      </c>
      <c r="Q76" s="163" t="s">
        <v>403</v>
      </c>
      <c r="R76" s="164">
        <v>3205002</v>
      </c>
      <c r="S76" s="165" t="s">
        <v>624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625</v>
      </c>
      <c r="O77" s="163" t="s">
        <v>510</v>
      </c>
      <c r="P77" s="163" t="s">
        <v>626</v>
      </c>
      <c r="Q77" s="163" t="s">
        <v>403</v>
      </c>
      <c r="R77" s="164">
        <v>3225909</v>
      </c>
      <c r="S77" s="165" t="s">
        <v>627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628</v>
      </c>
      <c r="O78" s="163" t="s">
        <v>510</v>
      </c>
      <c r="P78" s="163" t="s">
        <v>629</v>
      </c>
      <c r="Q78" s="163" t="s">
        <v>403</v>
      </c>
      <c r="R78" s="164">
        <v>3207102</v>
      </c>
      <c r="S78" s="165" t="s">
        <v>630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631</v>
      </c>
      <c r="O79" s="163" t="s">
        <v>510</v>
      </c>
      <c r="P79" s="163" t="s">
        <v>632</v>
      </c>
      <c r="Q79" s="163" t="s">
        <v>403</v>
      </c>
      <c r="R79" s="164">
        <v>3270149</v>
      </c>
      <c r="S79" s="165" t="s">
        <v>633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634</v>
      </c>
      <c r="O80" s="163" t="s">
        <v>510</v>
      </c>
      <c r="P80" s="163" t="s">
        <v>635</v>
      </c>
      <c r="Q80" s="163" t="s">
        <v>403</v>
      </c>
      <c r="R80" s="164">
        <v>3207005</v>
      </c>
      <c r="S80" s="165" t="s">
        <v>636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637</v>
      </c>
      <c r="O81" s="163" t="s">
        <v>510</v>
      </c>
      <c r="P81" s="163" t="s">
        <v>638</v>
      </c>
      <c r="Q81" s="163" t="s">
        <v>403</v>
      </c>
      <c r="R81" s="164">
        <v>3204995</v>
      </c>
      <c r="S81" s="165" t="s">
        <v>639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640</v>
      </c>
      <c r="O82" s="163" t="s">
        <v>510</v>
      </c>
      <c r="P82" s="163" t="s">
        <v>641</v>
      </c>
      <c r="Q82" s="163" t="s">
        <v>403</v>
      </c>
      <c r="R82" s="164">
        <v>3281485</v>
      </c>
      <c r="S82" s="165" t="s">
        <v>642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643</v>
      </c>
      <c r="O83" s="163" t="s">
        <v>510</v>
      </c>
      <c r="P83" s="163" t="s">
        <v>644</v>
      </c>
      <c r="Q83" s="163" t="s">
        <v>403</v>
      </c>
      <c r="R83" s="164">
        <v>3207064</v>
      </c>
      <c r="S83" s="165" t="s">
        <v>645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646</v>
      </c>
      <c r="O84" s="163" t="s">
        <v>510</v>
      </c>
      <c r="P84" s="163" t="s">
        <v>647</v>
      </c>
      <c r="Q84" s="163" t="s">
        <v>403</v>
      </c>
      <c r="R84" s="164">
        <v>1422545</v>
      </c>
      <c r="S84" s="165" t="s">
        <v>648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649</v>
      </c>
      <c r="O85" s="163" t="s">
        <v>510</v>
      </c>
      <c r="P85" s="163" t="s">
        <v>650</v>
      </c>
      <c r="Q85" s="163" t="s">
        <v>403</v>
      </c>
      <c r="R85" s="164">
        <v>3225755</v>
      </c>
      <c r="S85" s="165" t="s">
        <v>651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652</v>
      </c>
      <c r="O86" s="163" t="s">
        <v>510</v>
      </c>
      <c r="P86" s="163" t="s">
        <v>653</v>
      </c>
      <c r="Q86" s="163" t="s">
        <v>604</v>
      </c>
      <c r="R86" s="164">
        <v>3006107</v>
      </c>
      <c r="S86" s="165" t="s">
        <v>654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655</v>
      </c>
      <c r="O87" s="163" t="s">
        <v>656</v>
      </c>
      <c r="P87" s="163" t="s">
        <v>657</v>
      </c>
      <c r="Q87" s="163" t="s">
        <v>658</v>
      </c>
      <c r="R87" s="164">
        <v>2382512</v>
      </c>
      <c r="S87" s="165" t="s">
        <v>659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660</v>
      </c>
      <c r="O88" s="163" t="s">
        <v>656</v>
      </c>
      <c r="P88" s="163" t="s">
        <v>661</v>
      </c>
      <c r="Q88" s="163" t="s">
        <v>403</v>
      </c>
      <c r="R88" s="164">
        <v>1398270</v>
      </c>
      <c r="S88" s="165" t="s">
        <v>662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663</v>
      </c>
      <c r="O89" s="163" t="s">
        <v>656</v>
      </c>
      <c r="P89" s="163" t="s">
        <v>664</v>
      </c>
      <c r="Q89" s="163" t="s">
        <v>665</v>
      </c>
      <c r="R89" s="164">
        <v>1970828</v>
      </c>
      <c r="S89" s="165" t="s">
        <v>666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667</v>
      </c>
      <c r="O90" s="163" t="s">
        <v>656</v>
      </c>
      <c r="P90" s="196" t="s">
        <v>668</v>
      </c>
      <c r="Q90" s="196" t="s">
        <v>669</v>
      </c>
      <c r="R90" s="164">
        <v>1963813</v>
      </c>
      <c r="S90" s="165" t="s">
        <v>670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671</v>
      </c>
      <c r="O91" s="163" t="s">
        <v>656</v>
      </c>
      <c r="P91" s="163" t="s">
        <v>672</v>
      </c>
      <c r="Q91" s="163" t="s">
        <v>673</v>
      </c>
      <c r="R91" s="164">
        <v>2103133</v>
      </c>
      <c r="S91" s="165" t="s">
        <v>674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675</v>
      </c>
      <c r="O92" s="163" t="s">
        <v>656</v>
      </c>
      <c r="P92" s="163" t="s">
        <v>676</v>
      </c>
      <c r="Q92" s="163" t="s">
        <v>677</v>
      </c>
      <c r="R92" s="164">
        <v>1286030</v>
      </c>
      <c r="S92" s="165" t="s">
        <v>678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679</v>
      </c>
      <c r="O93" s="163" t="s">
        <v>656</v>
      </c>
      <c r="P93" s="163" t="s">
        <v>680</v>
      </c>
      <c r="Q93" s="163" t="s">
        <v>681</v>
      </c>
      <c r="R93" s="164">
        <v>1395521</v>
      </c>
      <c r="S93" s="165" t="s">
        <v>682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683</v>
      </c>
      <c r="O94" s="163" t="s">
        <v>656</v>
      </c>
      <c r="P94" s="163" t="s">
        <v>684</v>
      </c>
      <c r="Q94" s="163" t="s">
        <v>470</v>
      </c>
      <c r="R94" s="164">
        <v>1387332</v>
      </c>
      <c r="S94" s="165" t="s">
        <v>685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686</v>
      </c>
      <c r="O95" s="163" t="s">
        <v>656</v>
      </c>
      <c r="P95" s="163" t="s">
        <v>687</v>
      </c>
      <c r="Q95" s="163" t="s">
        <v>438</v>
      </c>
      <c r="R95" s="164">
        <v>2152622</v>
      </c>
      <c r="S95" s="165" t="s">
        <v>688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689</v>
      </c>
      <c r="O96" s="163" t="s">
        <v>656</v>
      </c>
      <c r="P96" s="163" t="s">
        <v>690</v>
      </c>
      <c r="Q96" s="163" t="s">
        <v>691</v>
      </c>
      <c r="R96" s="164">
        <v>2100673</v>
      </c>
      <c r="S96" s="165" t="s">
        <v>692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847</v>
      </c>
      <c r="L97" s="161" t="str">
        <f>M97&amp;" "&amp;N97</f>
        <v xml:space="preserve"> VELEUČILIŠTE HRVATSKO ZAGORJE</v>
      </c>
      <c r="N97" s="155" t="s">
        <v>848</v>
      </c>
      <c r="O97" s="163" t="s">
        <v>656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693</v>
      </c>
      <c r="O98" s="163" t="s">
        <v>656</v>
      </c>
      <c r="P98" s="163" t="s">
        <v>694</v>
      </c>
      <c r="Q98" s="163" t="s">
        <v>695</v>
      </c>
      <c r="R98" s="164">
        <v>2282208</v>
      </c>
      <c r="S98" s="165" t="s">
        <v>696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697</v>
      </c>
      <c r="O99" s="163" t="s">
        <v>656</v>
      </c>
      <c r="P99" s="163" t="s">
        <v>698</v>
      </c>
      <c r="Q99" s="163" t="s">
        <v>699</v>
      </c>
      <c r="R99" s="164">
        <v>1411942</v>
      </c>
      <c r="S99" s="165" t="s">
        <v>700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701</v>
      </c>
      <c r="O100" s="163" t="s">
        <v>656</v>
      </c>
      <c r="P100" s="163" t="s">
        <v>702</v>
      </c>
      <c r="Q100" s="163" t="s">
        <v>403</v>
      </c>
      <c r="R100" s="164">
        <v>1274597</v>
      </c>
      <c r="S100" s="165" t="s">
        <v>703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705</v>
      </c>
      <c r="O101" s="163" t="s">
        <v>656</v>
      </c>
      <c r="P101" s="163" t="s">
        <v>706</v>
      </c>
      <c r="Q101" s="163" t="s">
        <v>403</v>
      </c>
      <c r="R101" s="164">
        <v>3219925</v>
      </c>
      <c r="S101" s="165" t="s">
        <v>707</v>
      </c>
      <c r="T101" s="165" t="s">
        <v>834</v>
      </c>
      <c r="U101" s="166" t="s">
        <v>704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708</v>
      </c>
      <c r="O102" s="163" t="s">
        <v>656</v>
      </c>
      <c r="P102" s="163" t="s">
        <v>709</v>
      </c>
      <c r="Q102" s="163" t="s">
        <v>403</v>
      </c>
      <c r="R102" s="164">
        <v>3207153</v>
      </c>
      <c r="S102" s="165" t="s">
        <v>710</v>
      </c>
      <c r="T102" s="165" t="s">
        <v>834</v>
      </c>
      <c r="U102" s="166" t="s">
        <v>704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711</v>
      </c>
      <c r="O103" s="163" t="s">
        <v>656</v>
      </c>
      <c r="P103" s="163" t="s">
        <v>712</v>
      </c>
      <c r="Q103" s="163" t="s">
        <v>403</v>
      </c>
      <c r="R103" s="164">
        <v>3274098</v>
      </c>
      <c r="S103" s="165" t="s">
        <v>713</v>
      </c>
      <c r="T103" s="165" t="s">
        <v>834</v>
      </c>
      <c r="U103" s="166" t="s">
        <v>704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714</v>
      </c>
      <c r="O104" s="163" t="s">
        <v>656</v>
      </c>
      <c r="P104" s="163" t="s">
        <v>715</v>
      </c>
      <c r="Q104" s="163" t="s">
        <v>403</v>
      </c>
      <c r="R104" s="164">
        <v>3793028</v>
      </c>
      <c r="S104" s="165" t="s">
        <v>716</v>
      </c>
      <c r="T104" s="165" t="s">
        <v>834</v>
      </c>
      <c r="U104" s="166" t="s">
        <v>704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717</v>
      </c>
      <c r="O105" s="163" t="s">
        <v>656</v>
      </c>
      <c r="P105" s="163" t="s">
        <v>718</v>
      </c>
      <c r="Q105" s="163" t="s">
        <v>403</v>
      </c>
      <c r="R105" s="164">
        <v>3270289</v>
      </c>
      <c r="S105" s="165" t="s">
        <v>719</v>
      </c>
      <c r="T105" s="165" t="s">
        <v>834</v>
      </c>
      <c r="U105" s="166" t="s">
        <v>704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720</v>
      </c>
      <c r="O106" s="163" t="s">
        <v>656</v>
      </c>
      <c r="P106" s="163" t="s">
        <v>721</v>
      </c>
      <c r="Q106" s="163" t="s">
        <v>403</v>
      </c>
      <c r="R106" s="164">
        <v>3817121</v>
      </c>
      <c r="S106" s="165" t="s">
        <v>722</v>
      </c>
      <c r="T106" s="165" t="s">
        <v>834</v>
      </c>
      <c r="U106" s="166" t="s">
        <v>704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723</v>
      </c>
      <c r="O107" s="163" t="s">
        <v>656</v>
      </c>
      <c r="P107" s="163" t="s">
        <v>721</v>
      </c>
      <c r="Q107" s="163" t="s">
        <v>403</v>
      </c>
      <c r="R107" s="164">
        <v>3937658</v>
      </c>
      <c r="S107" s="165" t="s">
        <v>724</v>
      </c>
      <c r="T107" s="165" t="s">
        <v>834</v>
      </c>
      <c r="U107" s="166" t="s">
        <v>704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725</v>
      </c>
      <c r="O108" s="163" t="s">
        <v>656</v>
      </c>
      <c r="P108" s="163" t="s">
        <v>726</v>
      </c>
      <c r="Q108" s="163" t="s">
        <v>403</v>
      </c>
      <c r="R108" s="164">
        <v>3205118</v>
      </c>
      <c r="S108" s="165" t="s">
        <v>727</v>
      </c>
      <c r="T108" s="165" t="s">
        <v>834</v>
      </c>
      <c r="U108" s="166" t="s">
        <v>704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728</v>
      </c>
      <c r="O109" s="163" t="s">
        <v>656</v>
      </c>
      <c r="P109" s="163" t="s">
        <v>729</v>
      </c>
      <c r="Q109" s="163" t="s">
        <v>403</v>
      </c>
      <c r="R109" s="164">
        <v>3724042</v>
      </c>
      <c r="S109" s="165" t="s">
        <v>730</v>
      </c>
      <c r="T109" s="165" t="s">
        <v>834</v>
      </c>
      <c r="U109" s="166" t="s">
        <v>704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731</v>
      </c>
      <c r="O110" s="163" t="s">
        <v>656</v>
      </c>
      <c r="P110" s="163" t="s">
        <v>732</v>
      </c>
      <c r="Q110" s="163" t="s">
        <v>403</v>
      </c>
      <c r="R110" s="164">
        <v>3772047</v>
      </c>
      <c r="S110" s="165" t="s">
        <v>733</v>
      </c>
      <c r="T110" s="165" t="s">
        <v>834</v>
      </c>
      <c r="U110" s="166" t="s">
        <v>704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734</v>
      </c>
      <c r="O111" s="163" t="s">
        <v>656</v>
      </c>
      <c r="P111" s="163" t="s">
        <v>718</v>
      </c>
      <c r="Q111" s="163" t="s">
        <v>403</v>
      </c>
      <c r="R111" s="164">
        <v>3270424</v>
      </c>
      <c r="S111" s="165" t="s">
        <v>735</v>
      </c>
      <c r="T111" s="165" t="s">
        <v>834</v>
      </c>
      <c r="U111" s="166" t="s">
        <v>704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736</v>
      </c>
      <c r="O112" s="163" t="s">
        <v>656</v>
      </c>
      <c r="P112" s="163" t="s">
        <v>737</v>
      </c>
      <c r="Q112" s="163" t="s">
        <v>403</v>
      </c>
      <c r="R112" s="164">
        <v>3219518</v>
      </c>
      <c r="S112" s="165" t="s">
        <v>738</v>
      </c>
      <c r="T112" s="165" t="s">
        <v>834</v>
      </c>
      <c r="U112" s="166" t="s">
        <v>704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739</v>
      </c>
      <c r="O113" s="163" t="s">
        <v>656</v>
      </c>
      <c r="P113" s="163" t="s">
        <v>740</v>
      </c>
      <c r="Q113" s="163" t="s">
        <v>403</v>
      </c>
      <c r="R113" s="164">
        <v>1259571</v>
      </c>
      <c r="S113" s="165" t="s">
        <v>741</v>
      </c>
      <c r="T113" s="165" t="s">
        <v>834</v>
      </c>
      <c r="U113" s="166" t="s">
        <v>704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742</v>
      </c>
      <c r="O114" s="163" t="s">
        <v>656</v>
      </c>
      <c r="P114" s="163" t="s">
        <v>743</v>
      </c>
      <c r="Q114" s="163" t="s">
        <v>512</v>
      </c>
      <c r="R114" s="164">
        <v>3140792</v>
      </c>
      <c r="S114" s="165" t="s">
        <v>744</v>
      </c>
      <c r="T114" s="165" t="s">
        <v>834</v>
      </c>
      <c r="U114" s="166" t="s">
        <v>704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745</v>
      </c>
      <c r="O115" s="163" t="s">
        <v>656</v>
      </c>
      <c r="P115" s="163" t="s">
        <v>746</v>
      </c>
      <c r="Q115" s="163" t="s">
        <v>403</v>
      </c>
      <c r="R115" s="164">
        <v>3226344</v>
      </c>
      <c r="S115" s="165" t="s">
        <v>747</v>
      </c>
      <c r="T115" s="165" t="s">
        <v>834</v>
      </c>
      <c r="U115" s="166" t="s">
        <v>704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748</v>
      </c>
      <c r="O116" s="163" t="s">
        <v>656</v>
      </c>
      <c r="P116" s="163" t="s">
        <v>749</v>
      </c>
      <c r="Q116" s="163" t="s">
        <v>403</v>
      </c>
      <c r="R116" s="164">
        <v>3270475</v>
      </c>
      <c r="S116" s="165" t="s">
        <v>750</v>
      </c>
      <c r="T116" s="165" t="s">
        <v>834</v>
      </c>
      <c r="U116" s="166" t="s">
        <v>704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751</v>
      </c>
      <c r="O117" s="163" t="s">
        <v>656</v>
      </c>
      <c r="P117" s="163" t="s">
        <v>752</v>
      </c>
      <c r="Q117" s="163" t="s">
        <v>403</v>
      </c>
      <c r="R117" s="164">
        <v>3205177</v>
      </c>
      <c r="S117" s="165" t="s">
        <v>753</v>
      </c>
      <c r="T117" s="165" t="s">
        <v>834</v>
      </c>
      <c r="U117" s="166" t="s">
        <v>704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754</v>
      </c>
      <c r="O118" s="163" t="s">
        <v>656</v>
      </c>
      <c r="P118" s="163" t="s">
        <v>755</v>
      </c>
      <c r="Q118" s="163" t="s">
        <v>403</v>
      </c>
      <c r="R118" s="164">
        <v>3287572</v>
      </c>
      <c r="S118" s="165" t="s">
        <v>756</v>
      </c>
      <c r="T118" s="165" t="s">
        <v>834</v>
      </c>
      <c r="U118" s="166" t="s">
        <v>704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757</v>
      </c>
      <c r="O119" s="163" t="s">
        <v>656</v>
      </c>
      <c r="P119" s="163" t="s">
        <v>758</v>
      </c>
      <c r="Q119" s="163" t="s">
        <v>512</v>
      </c>
      <c r="R119" s="164">
        <v>3118355</v>
      </c>
      <c r="S119" s="165" t="s">
        <v>759</v>
      </c>
      <c r="T119" s="165" t="s">
        <v>834</v>
      </c>
      <c r="U119" s="166" t="s">
        <v>704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760</v>
      </c>
      <c r="O120" s="163" t="s">
        <v>656</v>
      </c>
      <c r="P120" s="163" t="s">
        <v>761</v>
      </c>
      <c r="Q120" s="163" t="s">
        <v>762</v>
      </c>
      <c r="R120" s="164">
        <v>3421031</v>
      </c>
      <c r="S120" s="165" t="s">
        <v>763</v>
      </c>
      <c r="T120" s="165" t="s">
        <v>834</v>
      </c>
      <c r="U120" s="166" t="s">
        <v>704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764</v>
      </c>
      <c r="O121" s="163" t="s">
        <v>656</v>
      </c>
      <c r="P121" s="163" t="s">
        <v>765</v>
      </c>
      <c r="Q121" s="163" t="s">
        <v>403</v>
      </c>
      <c r="R121" s="164">
        <v>1339958</v>
      </c>
      <c r="S121" s="165" t="s">
        <v>766</v>
      </c>
      <c r="T121" s="165" t="s">
        <v>834</v>
      </c>
      <c r="U121" s="166" t="s">
        <v>704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767</v>
      </c>
      <c r="O122" s="163" t="s">
        <v>656</v>
      </c>
      <c r="P122" s="163" t="s">
        <v>768</v>
      </c>
      <c r="Q122" s="163" t="s">
        <v>403</v>
      </c>
      <c r="R122" s="164">
        <v>3208001</v>
      </c>
      <c r="S122" s="165" t="s">
        <v>769</v>
      </c>
      <c r="T122" s="165" t="s">
        <v>834</v>
      </c>
      <c r="U122" s="166" t="s">
        <v>704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770</v>
      </c>
      <c r="O123" s="163" t="s">
        <v>656</v>
      </c>
      <c r="P123" s="163" t="s">
        <v>771</v>
      </c>
      <c r="Q123" s="163" t="s">
        <v>403</v>
      </c>
      <c r="R123" s="164">
        <v>1259563</v>
      </c>
      <c r="S123" s="165" t="s">
        <v>772</v>
      </c>
      <c r="T123" s="165" t="s">
        <v>834</v>
      </c>
      <c r="U123" s="166" t="s">
        <v>704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773</v>
      </c>
      <c r="O124" s="163" t="s">
        <v>656</v>
      </c>
      <c r="P124" s="163" t="s">
        <v>774</v>
      </c>
      <c r="Q124" s="163" t="s">
        <v>775</v>
      </c>
      <c r="R124" s="164">
        <v>3115879</v>
      </c>
      <c r="S124" s="165" t="s">
        <v>776</v>
      </c>
      <c r="T124" s="165" t="s">
        <v>834</v>
      </c>
      <c r="U124" s="166" t="s">
        <v>704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777</v>
      </c>
      <c r="O125" s="163" t="s">
        <v>656</v>
      </c>
      <c r="P125" s="163" t="s">
        <v>755</v>
      </c>
      <c r="Q125" s="163" t="s">
        <v>403</v>
      </c>
      <c r="R125" s="164">
        <v>3287572</v>
      </c>
      <c r="S125" s="165" t="s">
        <v>756</v>
      </c>
      <c r="T125" s="165" t="s">
        <v>834</v>
      </c>
      <c r="U125" s="166" t="s">
        <v>704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779</v>
      </c>
      <c r="O126" s="219" t="s">
        <v>656</v>
      </c>
      <c r="P126" s="219" t="s">
        <v>780</v>
      </c>
      <c r="Q126" s="219" t="s">
        <v>403</v>
      </c>
      <c r="R126" s="220">
        <v>3899772</v>
      </c>
      <c r="S126" s="221" t="s">
        <v>781</v>
      </c>
      <c r="T126" s="221" t="s">
        <v>807</v>
      </c>
      <c r="U126" s="222" t="s">
        <v>778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782</v>
      </c>
      <c r="O127" s="219" t="s">
        <v>656</v>
      </c>
      <c r="P127" s="223" t="s">
        <v>783</v>
      </c>
      <c r="Q127" s="219" t="s">
        <v>403</v>
      </c>
      <c r="R127" s="220">
        <v>3205363</v>
      </c>
      <c r="S127" s="221" t="s">
        <v>784</v>
      </c>
      <c r="T127" s="221" t="s">
        <v>807</v>
      </c>
      <c r="U127" s="224" t="s">
        <v>778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785</v>
      </c>
      <c r="O128" s="219" t="s">
        <v>656</v>
      </c>
      <c r="P128" s="223" t="s">
        <v>786</v>
      </c>
      <c r="Q128" s="219" t="s">
        <v>403</v>
      </c>
      <c r="R128" s="220">
        <v>1147820</v>
      </c>
      <c r="S128" s="221" t="s">
        <v>787</v>
      </c>
      <c r="T128" s="221" t="s">
        <v>807</v>
      </c>
      <c r="U128" s="224" t="s">
        <v>778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788</v>
      </c>
      <c r="O129" s="219" t="s">
        <v>656</v>
      </c>
      <c r="P129" s="223" t="s">
        <v>789</v>
      </c>
      <c r="Q129" s="219" t="s">
        <v>403</v>
      </c>
      <c r="R129" s="220">
        <v>3211622</v>
      </c>
      <c r="S129" s="221" t="s">
        <v>790</v>
      </c>
      <c r="T129" s="221" t="s">
        <v>807</v>
      </c>
      <c r="U129" s="224" t="s">
        <v>778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791</v>
      </c>
      <c r="O130" s="219" t="s">
        <v>656</v>
      </c>
      <c r="P130" s="223" t="s">
        <v>786</v>
      </c>
      <c r="Q130" s="219" t="s">
        <v>403</v>
      </c>
      <c r="R130" s="220">
        <v>3283020</v>
      </c>
      <c r="S130" s="221" t="s">
        <v>792</v>
      </c>
      <c r="T130" s="221" t="s">
        <v>807</v>
      </c>
      <c r="U130" s="224" t="s">
        <v>778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793</v>
      </c>
      <c r="O131" s="219" t="s">
        <v>656</v>
      </c>
      <c r="P131" s="219" t="s">
        <v>402</v>
      </c>
      <c r="Q131" s="219" t="s">
        <v>403</v>
      </c>
      <c r="R131" s="220">
        <v>1778129</v>
      </c>
      <c r="S131" s="221" t="s">
        <v>794</v>
      </c>
      <c r="T131" s="221" t="s">
        <v>807</v>
      </c>
      <c r="U131" s="224" t="s">
        <v>778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795</v>
      </c>
      <c r="O132" s="219" t="s">
        <v>656</v>
      </c>
      <c r="P132" s="223" t="s">
        <v>796</v>
      </c>
      <c r="Q132" s="219" t="s">
        <v>403</v>
      </c>
      <c r="R132" s="220">
        <v>1922548</v>
      </c>
      <c r="S132" s="221" t="s">
        <v>797</v>
      </c>
      <c r="T132" s="221" t="s">
        <v>807</v>
      </c>
      <c r="U132" s="224" t="s">
        <v>778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798</v>
      </c>
      <c r="O133" s="219" t="s">
        <v>656</v>
      </c>
      <c r="P133" s="223" t="s">
        <v>799</v>
      </c>
      <c r="Q133" s="219" t="s">
        <v>403</v>
      </c>
      <c r="R133" s="220">
        <v>1943430</v>
      </c>
      <c r="S133" s="221" t="s">
        <v>800</v>
      </c>
      <c r="T133" s="221" t="s">
        <v>807</v>
      </c>
      <c r="U133" s="224" t="s">
        <v>778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801</v>
      </c>
      <c r="O134" s="219" t="s">
        <v>656</v>
      </c>
      <c r="P134" s="223" t="s">
        <v>789</v>
      </c>
      <c r="Q134" s="219" t="s">
        <v>403</v>
      </c>
      <c r="R134" s="220">
        <v>2298007</v>
      </c>
      <c r="S134" s="221" t="s">
        <v>802</v>
      </c>
      <c r="T134" s="221" t="s">
        <v>807</v>
      </c>
      <c r="U134" s="224" t="s">
        <v>778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803</v>
      </c>
      <c r="O135" s="219" t="s">
        <v>656</v>
      </c>
      <c r="P135" s="223" t="s">
        <v>804</v>
      </c>
      <c r="Q135" s="219" t="s">
        <v>403</v>
      </c>
      <c r="R135" s="220">
        <v>2650029</v>
      </c>
      <c r="S135" s="221" t="s">
        <v>805</v>
      </c>
      <c r="T135" s="221" t="s">
        <v>807</v>
      </c>
      <c r="U135" s="224" t="s">
        <v>778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workbookViewId="0">
      <pane ySplit="2" topLeftCell="A3" activePane="bottomLeft" state="frozen"/>
      <selection pane="bottomLeft" activeCell="H8" sqref="H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811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843</v>
      </c>
      <c r="F2" s="68" t="s">
        <v>844</v>
      </c>
      <c r="G2" s="207" t="s">
        <v>836</v>
      </c>
      <c r="H2" s="207" t="s">
        <v>837</v>
      </c>
      <c r="I2" s="207" t="s">
        <v>838</v>
      </c>
      <c r="K2" s="147" t="s">
        <v>812</v>
      </c>
      <c r="L2" s="147" t="s">
        <v>813</v>
      </c>
      <c r="R2" s="62" t="s">
        <v>829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829</v>
      </c>
      <c r="F3" s="206" t="str">
        <f>IFERROR(VLOOKUP(E3,$R$6:$U$73,2,FALSE),"")</f>
        <v>Prihodi iz nadležnog proračuna za financiranje redovne djelatnosti proračunskih korisnika</v>
      </c>
      <c r="G3" s="198">
        <v>47605382</v>
      </c>
      <c r="H3" s="198">
        <v>49783585</v>
      </c>
      <c r="I3" s="198">
        <v>49902921</v>
      </c>
      <c r="K3" s="144" t="str">
        <f>LEFT(E3,3)</f>
        <v>671</v>
      </c>
      <c r="L3" s="144" t="str">
        <f>LEFT(E3,2)</f>
        <v>67</v>
      </c>
      <c r="M3" t="s">
        <v>393</v>
      </c>
      <c r="R3" s="62" t="s">
        <v>830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6615</v>
      </c>
      <c r="F4" s="141" t="str">
        <f t="shared" ref="F4:F66" si="2">IFERROR(VLOOKUP(E4,$R$6:$U$73,2,FALSE),"")</f>
        <v>Prihodi od pruženih usluga</v>
      </c>
      <c r="G4" s="198">
        <v>8333400</v>
      </c>
      <c r="H4" s="198">
        <v>8518401</v>
      </c>
      <c r="I4" s="198">
        <v>8596770.773616001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65264</v>
      </c>
      <c r="F5" s="141" t="str">
        <f t="shared" si="2"/>
        <v>Sufinanciranje cijene usluge, participacije i slično</v>
      </c>
      <c r="G5" s="198">
        <v>1218300</v>
      </c>
      <c r="H5" s="198">
        <v>1245346.26</v>
      </c>
      <c r="I5" s="198">
        <v>1256803.4455920001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814</v>
      </c>
      <c r="S5" s="68" t="s">
        <v>831</v>
      </c>
      <c r="T5" s="68" t="s">
        <v>832</v>
      </c>
      <c r="U5" s="68" t="s">
        <v>58</v>
      </c>
      <c r="V5" s="152" t="s">
        <v>833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65268</v>
      </c>
      <c r="F6" s="141" t="str">
        <f t="shared" si="2"/>
        <v>Ostali prihodi za posebne namjene</v>
      </c>
      <c r="G6" s="198">
        <v>5296400</v>
      </c>
      <c r="H6" s="198">
        <v>5413980.0800000001</v>
      </c>
      <c r="I6" s="198">
        <v>5463788.6967360005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829</v>
      </c>
      <c r="S6" s="7" t="s">
        <v>282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51</v>
      </c>
      <c r="D7" s="140" t="str">
        <f t="shared" si="1"/>
        <v>Pomoći EU</v>
      </c>
      <c r="E7" s="153">
        <v>632311700</v>
      </c>
      <c r="F7" s="141" t="str">
        <f t="shared" si="2"/>
        <v>Tekuće pomoći od institucija i tijela EU - ostalo</v>
      </c>
      <c r="G7" s="198">
        <v>99900</v>
      </c>
      <c r="H7" s="198">
        <v>0</v>
      </c>
      <c r="I7" s="198">
        <v>0</v>
      </c>
      <c r="K7" s="144" t="str">
        <f t="shared" si="3"/>
        <v>632</v>
      </c>
      <c r="L7" s="144" t="str">
        <f t="shared" si="4"/>
        <v>63</v>
      </c>
      <c r="M7" s="144">
        <v>12</v>
      </c>
      <c r="N7" s="144"/>
      <c r="O7" s="144" t="s">
        <v>285</v>
      </c>
      <c r="R7" s="200" t="s">
        <v>830</v>
      </c>
      <c r="S7" s="7" t="s">
        <v>282</v>
      </c>
      <c r="T7" s="62">
        <v>12</v>
      </c>
      <c r="U7" s="62" t="s">
        <v>285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6393</v>
      </c>
      <c r="F8" s="141" t="str">
        <f t="shared" si="2"/>
        <v>Tekući prijenosi između proračunskih korisnika istog proračuna temeljem prijenosa EU sredstava</v>
      </c>
      <c r="G8" s="198">
        <v>5307602</v>
      </c>
      <c r="H8" s="198">
        <v>5527548</v>
      </c>
      <c r="I8" s="198">
        <v>5577640</v>
      </c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816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61</v>
      </c>
      <c r="D9" s="140" t="str">
        <f t="shared" si="1"/>
        <v>Donacije</v>
      </c>
      <c r="E9" s="153">
        <v>663120000</v>
      </c>
      <c r="F9" s="141" t="str">
        <f t="shared" si="2"/>
        <v>Tekuće donacije od neprofitnih organizacija</v>
      </c>
      <c r="G9" s="198">
        <v>12900</v>
      </c>
      <c r="H9" s="198">
        <v>13186.38</v>
      </c>
      <c r="I9" s="198">
        <v>13307.694696</v>
      </c>
      <c r="K9" s="144" t="str">
        <f t="shared" si="3"/>
        <v>663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817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61</v>
      </c>
      <c r="D10" s="140" t="str">
        <f t="shared" si="1"/>
        <v>Donacije</v>
      </c>
      <c r="E10" s="153">
        <v>663130000</v>
      </c>
      <c r="F10" s="141" t="str">
        <f t="shared" si="2"/>
        <v>Tekuće donacije od trgovačkih društava</v>
      </c>
      <c r="G10" s="198">
        <v>97100</v>
      </c>
      <c r="H10" s="198">
        <v>99255.62</v>
      </c>
      <c r="I10" s="198">
        <v>100168.771704</v>
      </c>
      <c r="K10" s="144" t="str">
        <f t="shared" si="3"/>
        <v>663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266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71</v>
      </c>
      <c r="D11" s="140" t="str">
        <f t="shared" si="1"/>
        <v>Prihodi od nefin. imovine i nadoknade štete s osnova osig.</v>
      </c>
      <c r="E11" s="153">
        <v>721190071</v>
      </c>
      <c r="F11" s="141" t="str">
        <f t="shared" si="2"/>
        <v>Ostali stambeni objekti izvor 71</v>
      </c>
      <c r="G11" s="198">
        <v>5500</v>
      </c>
      <c r="H11" s="198">
        <v>5500</v>
      </c>
      <c r="I11" s="198">
        <v>5500</v>
      </c>
      <c r="K11" s="144" t="str">
        <f t="shared" si="3"/>
        <v>721</v>
      </c>
      <c r="L11" s="144" t="str">
        <f t="shared" si="4"/>
        <v>72</v>
      </c>
      <c r="M11" s="144">
        <v>52</v>
      </c>
      <c r="N11" s="144"/>
      <c r="O11" s="144" t="s">
        <v>128</v>
      </c>
      <c r="R11" s="6">
        <v>6342</v>
      </c>
      <c r="S11" s="6" t="s">
        <v>267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563</v>
      </c>
      <c r="D12" s="140" t="str">
        <f t="shared" si="1"/>
        <v>Europski fond za regionalni razvoj (ERDF)</v>
      </c>
      <c r="E12" s="153">
        <v>632310563</v>
      </c>
      <c r="F12" s="141" t="str">
        <f t="shared" si="2"/>
        <v>Tekuće pomoći od institucija i tijela EU - ERDF</v>
      </c>
      <c r="G12" s="198">
        <v>1814886</v>
      </c>
      <c r="H12" s="198">
        <v>1819399</v>
      </c>
      <c r="I12" s="198">
        <v>1829764</v>
      </c>
      <c r="K12" s="144" t="str">
        <f t="shared" si="3"/>
        <v>632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12</v>
      </c>
      <c r="D13" s="140" t="str">
        <f t="shared" si="1"/>
        <v>Sredstva učešća za pomoći</v>
      </c>
      <c r="E13" s="153" t="s">
        <v>830</v>
      </c>
      <c r="F13" s="141" t="str">
        <f t="shared" si="2"/>
        <v>Prihodi iz nadležnog proračuna za financiranje redovne djelatnosti proračunskih korisnika</v>
      </c>
      <c r="G13" s="198">
        <v>504282</v>
      </c>
      <c r="H13" s="198">
        <v>515515</v>
      </c>
      <c r="I13" s="198">
        <v>524268</v>
      </c>
      <c r="K13" s="144" t="str">
        <f t="shared" si="3"/>
        <v>671</v>
      </c>
      <c r="L13" s="144" t="str">
        <f t="shared" si="4"/>
        <v>67</v>
      </c>
      <c r="M13" s="144">
        <v>71</v>
      </c>
      <c r="N13" s="144"/>
      <c r="O13" s="144" t="s">
        <v>193</v>
      </c>
      <c r="R13" s="210">
        <v>6382</v>
      </c>
      <c r="S13" s="210" t="s">
        <v>842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561</v>
      </c>
      <c r="D14" s="140" t="str">
        <f t="shared" si="1"/>
        <v>Europski socijalni fond (ESF)</v>
      </c>
      <c r="E14" s="153">
        <v>632410561</v>
      </c>
      <c r="F14" s="141" t="str">
        <f t="shared" si="2"/>
        <v>Kapitalne pomoći od institucija i tijela EU - ESF</v>
      </c>
      <c r="G14" s="198">
        <v>1214430</v>
      </c>
      <c r="H14" s="198">
        <v>1045001</v>
      </c>
      <c r="I14" s="198">
        <v>1023955</v>
      </c>
      <c r="K14" s="144" t="str">
        <f t="shared" si="3"/>
        <v>632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>
        <v>0</v>
      </c>
      <c r="H15" s="198">
        <v>0</v>
      </c>
      <c r="I15" s="198">
        <v>0</v>
      </c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>
        <v>0</v>
      </c>
      <c r="H16" s="198">
        <v>0</v>
      </c>
      <c r="I16" s="198">
        <v>0</v>
      </c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>
        <v>0</v>
      </c>
      <c r="H17" s="198">
        <v>0</v>
      </c>
      <c r="I17" s="198">
        <v>0</v>
      </c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>
        <v>0</v>
      </c>
      <c r="H18" s="198">
        <v>0</v>
      </c>
      <c r="I18" s="198">
        <v>0</v>
      </c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>
        <v>0</v>
      </c>
      <c r="H19" s="198">
        <v>0</v>
      </c>
      <c r="I19" s="198">
        <v>0</v>
      </c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>
        <v>0</v>
      </c>
      <c r="H20" s="198">
        <v>0</v>
      </c>
      <c r="I20" s="198">
        <v>0</v>
      </c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>
        <v>0</v>
      </c>
      <c r="H21" s="198">
        <v>0</v>
      </c>
      <c r="I21" s="198">
        <v>0</v>
      </c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>
        <v>0</v>
      </c>
      <c r="H22" s="198">
        <v>0</v>
      </c>
      <c r="I22" s="198">
        <v>0</v>
      </c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>
        <v>0</v>
      </c>
      <c r="H23" s="198">
        <v>0</v>
      </c>
      <c r="I23" s="198">
        <v>0</v>
      </c>
      <c r="K23" s="144" t="str">
        <f t="shared" si="3"/>
        <v/>
      </c>
      <c r="L23" s="144" t="str">
        <f t="shared" si="4"/>
        <v/>
      </c>
      <c r="R23" s="6">
        <v>65218</v>
      </c>
      <c r="S23" s="6" t="s">
        <v>257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>
        <v>0</v>
      </c>
      <c r="H24" s="198">
        <v>0</v>
      </c>
      <c r="I24" s="198">
        <v>0</v>
      </c>
      <c r="K24" s="144" t="str">
        <f t="shared" si="3"/>
        <v/>
      </c>
      <c r="L24" s="144" t="str">
        <f t="shared" si="4"/>
        <v/>
      </c>
      <c r="R24" s="6">
        <v>65264</v>
      </c>
      <c r="S24" s="6" t="s">
        <v>258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>
        <v>0</v>
      </c>
      <c r="H25" s="198">
        <v>0</v>
      </c>
      <c r="I25" s="198">
        <v>0</v>
      </c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>
        <v>0</v>
      </c>
      <c r="H26" s="198">
        <v>0</v>
      </c>
      <c r="I26" s="198">
        <v>0</v>
      </c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>
        <v>0</v>
      </c>
      <c r="H27" s="198">
        <v>0</v>
      </c>
      <c r="I27" s="198">
        <v>0</v>
      </c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>
        <v>0</v>
      </c>
      <c r="H28" s="198">
        <v>0</v>
      </c>
      <c r="I28" s="198">
        <v>0</v>
      </c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>
        <v>0</v>
      </c>
      <c r="H29" s="198">
        <v>0</v>
      </c>
      <c r="I29" s="198">
        <v>0</v>
      </c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>
        <v>0</v>
      </c>
      <c r="H30" s="198">
        <v>0</v>
      </c>
      <c r="I30" s="198">
        <v>0</v>
      </c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265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>
        <v>0</v>
      </c>
      <c r="H31" s="198">
        <v>0</v>
      </c>
      <c r="I31" s="198">
        <v>0</v>
      </c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>
        <v>0</v>
      </c>
      <c r="H32" s="198">
        <v>0</v>
      </c>
      <c r="I32" s="198">
        <v>0</v>
      </c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>
        <v>0</v>
      </c>
      <c r="H33" s="198">
        <v>0</v>
      </c>
      <c r="I33" s="198">
        <v>0</v>
      </c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>
        <v>0</v>
      </c>
      <c r="H34" s="198">
        <v>0</v>
      </c>
      <c r="I34" s="198">
        <v>0</v>
      </c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262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>
        <v>0</v>
      </c>
      <c r="H35" s="198">
        <v>0</v>
      </c>
      <c r="I35" s="198">
        <v>0</v>
      </c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263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>
        <v>0</v>
      </c>
      <c r="H36" s="198">
        <v>0</v>
      </c>
      <c r="I36" s="198">
        <v>0</v>
      </c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>
        <v>0</v>
      </c>
      <c r="H37" s="198">
        <v>0</v>
      </c>
      <c r="I37" s="198">
        <v>0</v>
      </c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264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>
        <v>0</v>
      </c>
      <c r="H38" s="198">
        <v>0</v>
      </c>
      <c r="I38" s="198">
        <v>0</v>
      </c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>
        <v>0</v>
      </c>
      <c r="H39" s="198">
        <v>0</v>
      </c>
      <c r="I39" s="198">
        <v>0</v>
      </c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>
        <v>0</v>
      </c>
      <c r="H40" s="198">
        <v>0</v>
      </c>
      <c r="I40" s="198">
        <v>0</v>
      </c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>
        <v>0</v>
      </c>
      <c r="H41" s="198">
        <v>0</v>
      </c>
      <c r="I41" s="198">
        <v>0</v>
      </c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250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>
        <v>0</v>
      </c>
      <c r="H42" s="198">
        <v>0</v>
      </c>
      <c r="I42" s="198">
        <v>0</v>
      </c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251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>
        <v>0</v>
      </c>
      <c r="H43" s="198">
        <v>0</v>
      </c>
      <c r="I43" s="198">
        <v>0</v>
      </c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252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>
        <v>0</v>
      </c>
      <c r="H44" s="198">
        <v>0</v>
      </c>
      <c r="I44" s="198">
        <v>0</v>
      </c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253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>
        <v>0</v>
      </c>
      <c r="H45" s="198">
        <v>0</v>
      </c>
      <c r="I45" s="198">
        <v>0</v>
      </c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256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>
        <v>0</v>
      </c>
      <c r="H46" s="198">
        <v>0</v>
      </c>
      <c r="I46" s="198">
        <v>0</v>
      </c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254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>
        <v>0</v>
      </c>
      <c r="H47" s="198">
        <v>0</v>
      </c>
      <c r="I47" s="198">
        <v>0</v>
      </c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255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>
        <v>0</v>
      </c>
      <c r="H48" s="198">
        <v>0</v>
      </c>
      <c r="I48" s="198">
        <v>0</v>
      </c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259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>
        <v>0</v>
      </c>
      <c r="H49" s="198">
        <v>0</v>
      </c>
      <c r="I49" s="198">
        <v>0</v>
      </c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>
        <v>0</v>
      </c>
      <c r="H50" s="198">
        <v>0</v>
      </c>
      <c r="I50" s="198">
        <v>0</v>
      </c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>
        <v>0</v>
      </c>
      <c r="H51" s="198">
        <v>0</v>
      </c>
      <c r="I51" s="198">
        <v>0</v>
      </c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>
        <v>0</v>
      </c>
      <c r="H52" s="198">
        <v>0</v>
      </c>
      <c r="I52" s="198">
        <v>0</v>
      </c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>
        <v>0</v>
      </c>
      <c r="H53" s="198">
        <v>0</v>
      </c>
      <c r="I53" s="198">
        <v>0</v>
      </c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>
        <v>0</v>
      </c>
      <c r="H54" s="198">
        <v>0</v>
      </c>
      <c r="I54" s="198">
        <v>0</v>
      </c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>
        <v>0</v>
      </c>
      <c r="H55" s="198">
        <v>0</v>
      </c>
      <c r="I55" s="198">
        <v>0</v>
      </c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>
        <v>0</v>
      </c>
      <c r="H56" s="198">
        <v>0</v>
      </c>
      <c r="I56" s="198">
        <v>0</v>
      </c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>
        <v>0</v>
      </c>
      <c r="H57" s="198">
        <v>0</v>
      </c>
      <c r="I57" s="198">
        <v>0</v>
      </c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260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>
        <v>0</v>
      </c>
      <c r="H58" s="198">
        <v>0</v>
      </c>
      <c r="I58" s="198">
        <v>0</v>
      </c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261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>
        <v>0</v>
      </c>
      <c r="H59" s="198">
        <v>0</v>
      </c>
      <c r="I59" s="198">
        <v>0</v>
      </c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268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>
        <v>0</v>
      </c>
      <c r="H60" s="198">
        <v>0</v>
      </c>
      <c r="I60" s="198">
        <v>0</v>
      </c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269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>
        <v>0</v>
      </c>
      <c r="H61" s="198">
        <v>0</v>
      </c>
      <c r="I61" s="198">
        <v>0</v>
      </c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270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>
        <v>0</v>
      </c>
      <c r="H62" s="198">
        <v>0</v>
      </c>
      <c r="I62" s="198">
        <v>0</v>
      </c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271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>
        <v>0</v>
      </c>
      <c r="H63" s="198">
        <v>0</v>
      </c>
      <c r="I63" s="198">
        <v>0</v>
      </c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272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>
        <v>0</v>
      </c>
      <c r="H64" s="198">
        <v>0</v>
      </c>
      <c r="I64" s="198">
        <v>0</v>
      </c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273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>
        <v>0</v>
      </c>
      <c r="H65" s="198">
        <v>0</v>
      </c>
      <c r="I65" s="198">
        <v>0</v>
      </c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274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>
        <v>0</v>
      </c>
      <c r="H66" s="198">
        <v>0</v>
      </c>
      <c r="I66" s="198">
        <v>0</v>
      </c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275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>
        <v>0</v>
      </c>
      <c r="H67" s="198">
        <v>0</v>
      </c>
      <c r="I67" s="198">
        <v>0</v>
      </c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276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>
        <v>0</v>
      </c>
      <c r="H68" s="198">
        <v>0</v>
      </c>
      <c r="I68" s="198">
        <v>0</v>
      </c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277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>
        <v>0</v>
      </c>
      <c r="H69" s="198">
        <v>0</v>
      </c>
      <c r="I69" s="198">
        <v>0</v>
      </c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278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>
        <v>0</v>
      </c>
      <c r="H70" s="198">
        <v>0</v>
      </c>
      <c r="I70" s="198">
        <v>0</v>
      </c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279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>
        <v>0</v>
      </c>
      <c r="H71" s="198">
        <v>0</v>
      </c>
      <c r="I71" s="198">
        <v>0</v>
      </c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280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>
        <v>0</v>
      </c>
      <c r="H72" s="198">
        <v>0</v>
      </c>
      <c r="I72" s="198">
        <v>0</v>
      </c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281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>
        <v>0</v>
      </c>
      <c r="H73" s="198">
        <v>0</v>
      </c>
      <c r="I73" s="198">
        <v>0</v>
      </c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384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>
        <v>0</v>
      </c>
      <c r="H74" s="198">
        <v>0</v>
      </c>
      <c r="I74" s="198">
        <v>0</v>
      </c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>
        <v>0</v>
      </c>
      <c r="H75" s="198">
        <v>0</v>
      </c>
      <c r="I75" s="198">
        <v>0</v>
      </c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>
        <v>0</v>
      </c>
      <c r="H76" s="198">
        <v>0</v>
      </c>
      <c r="I76" s="198">
        <v>0</v>
      </c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>
        <v>0</v>
      </c>
      <c r="H77" s="198">
        <v>0</v>
      </c>
      <c r="I77" s="198">
        <v>0</v>
      </c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>
        <v>0</v>
      </c>
      <c r="H78" s="198">
        <v>0</v>
      </c>
      <c r="I78" s="198">
        <v>0</v>
      </c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>
        <v>0</v>
      </c>
      <c r="H79" s="198">
        <v>0</v>
      </c>
      <c r="I79" s="198">
        <v>0</v>
      </c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>
        <v>0</v>
      </c>
      <c r="H80" s="198">
        <v>0</v>
      </c>
      <c r="I80" s="198">
        <v>0</v>
      </c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>
        <v>0</v>
      </c>
      <c r="H81" s="198">
        <v>0</v>
      </c>
      <c r="I81" s="198">
        <v>0</v>
      </c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>
        <v>0</v>
      </c>
      <c r="H82" s="198">
        <v>0</v>
      </c>
      <c r="I82" s="198">
        <v>0</v>
      </c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>
        <v>0</v>
      </c>
      <c r="H83" s="198">
        <v>0</v>
      </c>
      <c r="I83" s="198">
        <v>0</v>
      </c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>
        <v>0</v>
      </c>
      <c r="H84" s="198">
        <v>0</v>
      </c>
      <c r="I84" s="198">
        <v>0</v>
      </c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>
        <v>0</v>
      </c>
      <c r="H85" s="198">
        <v>0</v>
      </c>
      <c r="I85" s="198">
        <v>0</v>
      </c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>
        <v>0</v>
      </c>
      <c r="H86" s="198">
        <v>0</v>
      </c>
      <c r="I86" s="198">
        <v>0</v>
      </c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>
        <v>0</v>
      </c>
      <c r="H87" s="198">
        <v>0</v>
      </c>
      <c r="I87" s="198">
        <v>0</v>
      </c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>
        <v>0</v>
      </c>
      <c r="H88" s="198">
        <v>0</v>
      </c>
      <c r="I88" s="198">
        <v>0</v>
      </c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>
        <v>0</v>
      </c>
      <c r="H89" s="198">
        <v>0</v>
      </c>
      <c r="I89" s="198">
        <v>0</v>
      </c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>
        <v>0</v>
      </c>
      <c r="H90" s="198">
        <v>0</v>
      </c>
      <c r="I90" s="198">
        <v>0</v>
      </c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>
        <v>0</v>
      </c>
      <c r="H91" s="198">
        <v>0</v>
      </c>
      <c r="I91" s="198">
        <v>0</v>
      </c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>
        <v>0</v>
      </c>
      <c r="H92" s="198">
        <v>0</v>
      </c>
      <c r="I92" s="198">
        <v>0</v>
      </c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>
        <v>0</v>
      </c>
      <c r="H93" s="198">
        <v>0</v>
      </c>
      <c r="I93" s="198">
        <v>0</v>
      </c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>
        <v>0</v>
      </c>
      <c r="H94" s="198">
        <v>0</v>
      </c>
      <c r="I94" s="198">
        <v>0</v>
      </c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>
        <v>0</v>
      </c>
      <c r="H95" s="198">
        <v>0</v>
      </c>
      <c r="I95" s="198">
        <v>0</v>
      </c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>
        <v>0</v>
      </c>
      <c r="H96" s="198">
        <v>0</v>
      </c>
      <c r="I96" s="198">
        <v>0</v>
      </c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>
        <v>0</v>
      </c>
      <c r="H97" s="198">
        <v>0</v>
      </c>
      <c r="I97" s="198">
        <v>0</v>
      </c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>
        <v>0</v>
      </c>
      <c r="H98" s="198">
        <v>0</v>
      </c>
      <c r="I98" s="198">
        <v>0</v>
      </c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>
        <v>0</v>
      </c>
      <c r="H99" s="198">
        <v>0</v>
      </c>
      <c r="I99" s="198">
        <v>0</v>
      </c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>
        <v>0</v>
      </c>
      <c r="H100" s="198">
        <v>0</v>
      </c>
      <c r="I100" s="198">
        <v>0</v>
      </c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>
        <v>0</v>
      </c>
      <c r="H101" s="198">
        <v>0</v>
      </c>
      <c r="I101" s="198">
        <v>0</v>
      </c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>
        <v>0</v>
      </c>
      <c r="H102" s="198">
        <v>0</v>
      </c>
      <c r="I102" s="198">
        <v>0</v>
      </c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>
        <v>0</v>
      </c>
      <c r="H103" s="198">
        <v>0</v>
      </c>
      <c r="I103" s="198">
        <v>0</v>
      </c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>
        <v>0</v>
      </c>
      <c r="H104" s="198">
        <v>0</v>
      </c>
      <c r="I104" s="198">
        <v>0</v>
      </c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>
        <v>0</v>
      </c>
      <c r="H105" s="198">
        <v>0</v>
      </c>
      <c r="I105" s="198">
        <v>0</v>
      </c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>
        <v>0</v>
      </c>
      <c r="H106" s="198">
        <v>0</v>
      </c>
      <c r="I106" s="198">
        <v>0</v>
      </c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>
        <v>0</v>
      </c>
      <c r="H107" s="198">
        <v>0</v>
      </c>
      <c r="I107" s="198">
        <v>0</v>
      </c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>
        <v>0</v>
      </c>
      <c r="H108" s="198">
        <v>0</v>
      </c>
      <c r="I108" s="198">
        <v>0</v>
      </c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>
        <v>0</v>
      </c>
      <c r="H109" s="198">
        <v>0</v>
      </c>
      <c r="I109" s="198">
        <v>0</v>
      </c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>
        <v>0</v>
      </c>
      <c r="H110" s="198">
        <v>0</v>
      </c>
      <c r="I110" s="198">
        <v>0</v>
      </c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>
        <v>0</v>
      </c>
      <c r="H111" s="198">
        <v>0</v>
      </c>
      <c r="I111" s="198">
        <v>0</v>
      </c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>
        <v>0</v>
      </c>
      <c r="H112" s="198">
        <v>0</v>
      </c>
      <c r="I112" s="198">
        <v>0</v>
      </c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>
        <v>0</v>
      </c>
      <c r="H113" s="198">
        <v>0</v>
      </c>
      <c r="I113" s="198">
        <v>0</v>
      </c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>
        <v>0</v>
      </c>
      <c r="H114" s="198">
        <v>0</v>
      </c>
      <c r="I114" s="198">
        <v>0</v>
      </c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>
        <v>0</v>
      </c>
      <c r="H115" s="198">
        <v>0</v>
      </c>
      <c r="I115" s="198">
        <v>0</v>
      </c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>
        <v>0</v>
      </c>
      <c r="H116" s="198">
        <v>0</v>
      </c>
      <c r="I116" s="198">
        <v>0</v>
      </c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>
        <v>0</v>
      </c>
      <c r="H117" s="198">
        <v>0</v>
      </c>
      <c r="I117" s="198">
        <v>0</v>
      </c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>
        <v>0</v>
      </c>
      <c r="H118" s="198">
        <v>0</v>
      </c>
      <c r="I118" s="198">
        <v>0</v>
      </c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>
        <v>0</v>
      </c>
      <c r="H119" s="198">
        <v>0</v>
      </c>
      <c r="I119" s="198">
        <v>0</v>
      </c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>
        <v>0</v>
      </c>
      <c r="H120" s="198">
        <v>0</v>
      </c>
      <c r="I120" s="198">
        <v>0</v>
      </c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>
        <v>0</v>
      </c>
      <c r="H121" s="198">
        <v>0</v>
      </c>
      <c r="I121" s="198">
        <v>0</v>
      </c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>
        <v>0</v>
      </c>
      <c r="H122" s="198">
        <v>0</v>
      </c>
      <c r="I122" s="198">
        <v>0</v>
      </c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>
        <v>0</v>
      </c>
      <c r="H123" s="198">
        <v>0</v>
      </c>
      <c r="I123" s="198">
        <v>0</v>
      </c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>
        <v>0</v>
      </c>
      <c r="H124" s="198">
        <v>0</v>
      </c>
      <c r="I124" s="198">
        <v>0</v>
      </c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>
        <v>0</v>
      </c>
      <c r="H125" s="198">
        <v>0</v>
      </c>
      <c r="I125" s="198">
        <v>0</v>
      </c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>
        <v>0</v>
      </c>
      <c r="H126" s="198">
        <v>0</v>
      </c>
      <c r="I126" s="198">
        <v>0</v>
      </c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>
        <v>0</v>
      </c>
      <c r="H127" s="198">
        <v>0</v>
      </c>
      <c r="I127" s="198">
        <v>0</v>
      </c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>
        <v>0</v>
      </c>
      <c r="H128" s="198">
        <v>0</v>
      </c>
      <c r="I128" s="198">
        <v>0</v>
      </c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>
        <v>0</v>
      </c>
      <c r="H129" s="198">
        <v>0</v>
      </c>
      <c r="I129" s="198">
        <v>0</v>
      </c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>
        <v>0</v>
      </c>
      <c r="H130" s="198">
        <v>0</v>
      </c>
      <c r="I130" s="198">
        <v>0</v>
      </c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>
        <v>0</v>
      </c>
      <c r="H131" s="198">
        <v>0</v>
      </c>
      <c r="I131" s="198">
        <v>0</v>
      </c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>
        <v>0</v>
      </c>
      <c r="H132" s="198">
        <v>0</v>
      </c>
      <c r="I132" s="198">
        <v>0</v>
      </c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>
        <v>0</v>
      </c>
      <c r="H133" s="198">
        <v>0</v>
      </c>
      <c r="I133" s="198">
        <v>0</v>
      </c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>
        <v>0</v>
      </c>
      <c r="H134" s="198">
        <v>0</v>
      </c>
      <c r="I134" s="198">
        <v>0</v>
      </c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>
        <v>0</v>
      </c>
      <c r="H135" s="198">
        <v>0</v>
      </c>
      <c r="I135" s="198">
        <v>0</v>
      </c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>
        <v>0</v>
      </c>
      <c r="H136" s="198">
        <v>0</v>
      </c>
      <c r="I136" s="198">
        <v>0</v>
      </c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>
        <v>0</v>
      </c>
      <c r="H137" s="198">
        <v>0</v>
      </c>
      <c r="I137" s="198">
        <v>0</v>
      </c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>
        <v>0</v>
      </c>
      <c r="H138" s="198">
        <v>0</v>
      </c>
      <c r="I138" s="198">
        <v>0</v>
      </c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>
        <v>0</v>
      </c>
      <c r="H139" s="198">
        <v>0</v>
      </c>
      <c r="I139" s="198">
        <v>0</v>
      </c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>
        <v>0</v>
      </c>
      <c r="H140" s="198">
        <v>0</v>
      </c>
      <c r="I140" s="198">
        <v>0</v>
      </c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>
        <v>0</v>
      </c>
      <c r="H141" s="198">
        <v>0</v>
      </c>
      <c r="I141" s="198">
        <v>0</v>
      </c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>
        <v>0</v>
      </c>
      <c r="H142" s="198">
        <v>0</v>
      </c>
      <c r="I142" s="198">
        <v>0</v>
      </c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>
        <v>0</v>
      </c>
      <c r="H143" s="198">
        <v>0</v>
      </c>
      <c r="I143" s="198">
        <v>0</v>
      </c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>
        <v>0</v>
      </c>
      <c r="H144" s="198">
        <v>0</v>
      </c>
      <c r="I144" s="198">
        <v>0</v>
      </c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>
        <v>0</v>
      </c>
      <c r="H145" s="198">
        <v>0</v>
      </c>
      <c r="I145" s="198">
        <v>0</v>
      </c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>
        <v>0</v>
      </c>
      <c r="H146" s="198">
        <v>0</v>
      </c>
      <c r="I146" s="198">
        <v>0</v>
      </c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>
        <v>0</v>
      </c>
      <c r="H147" s="198">
        <v>0</v>
      </c>
      <c r="I147" s="198">
        <v>0</v>
      </c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>
        <v>0</v>
      </c>
      <c r="H148" s="198">
        <v>0</v>
      </c>
      <c r="I148" s="198">
        <v>0</v>
      </c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>
        <v>0</v>
      </c>
      <c r="H149" s="198">
        <v>0</v>
      </c>
      <c r="I149" s="198">
        <v>0</v>
      </c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>
        <v>0</v>
      </c>
      <c r="H150" s="198">
        <v>0</v>
      </c>
      <c r="I150" s="198">
        <v>0</v>
      </c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>
        <v>0</v>
      </c>
      <c r="H151" s="198">
        <v>0</v>
      </c>
      <c r="I151" s="198">
        <v>0</v>
      </c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>
        <v>0</v>
      </c>
      <c r="H152" s="198">
        <v>0</v>
      </c>
      <c r="I152" s="198">
        <v>0</v>
      </c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>
        <v>0</v>
      </c>
      <c r="H153" s="198">
        <v>0</v>
      </c>
      <c r="I153" s="198">
        <v>0</v>
      </c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>
        <v>0</v>
      </c>
      <c r="H154" s="198">
        <v>0</v>
      </c>
      <c r="I154" s="198">
        <v>0</v>
      </c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>
        <v>0</v>
      </c>
      <c r="H155" s="198">
        <v>0</v>
      </c>
      <c r="I155" s="198">
        <v>0</v>
      </c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>
        <v>0</v>
      </c>
      <c r="H156" s="198">
        <v>0</v>
      </c>
      <c r="I156" s="198">
        <v>0</v>
      </c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>
        <v>0</v>
      </c>
      <c r="H157" s="198">
        <v>0</v>
      </c>
      <c r="I157" s="198">
        <v>0</v>
      </c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>
        <v>0</v>
      </c>
      <c r="H158" s="198">
        <v>0</v>
      </c>
      <c r="I158" s="198">
        <v>0</v>
      </c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>
        <v>0</v>
      </c>
      <c r="H159" s="198">
        <v>0</v>
      </c>
      <c r="I159" s="198">
        <v>0</v>
      </c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>
        <v>0</v>
      </c>
      <c r="H160" s="198">
        <v>0</v>
      </c>
      <c r="I160" s="198">
        <v>0</v>
      </c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>
        <v>0</v>
      </c>
      <c r="H161" s="198">
        <v>0</v>
      </c>
      <c r="I161" s="198">
        <v>0</v>
      </c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>
        <v>0</v>
      </c>
      <c r="H162" s="198">
        <v>0</v>
      </c>
      <c r="I162" s="198">
        <v>0</v>
      </c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>
        <v>0</v>
      </c>
      <c r="H163" s="198">
        <v>0</v>
      </c>
      <c r="I163" s="198">
        <v>0</v>
      </c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>
        <v>0</v>
      </c>
      <c r="H164" s="198">
        <v>0</v>
      </c>
      <c r="I164" s="198">
        <v>0</v>
      </c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>
        <v>0</v>
      </c>
      <c r="H165" s="198">
        <v>0</v>
      </c>
      <c r="I165" s="198">
        <v>0</v>
      </c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>
        <v>0</v>
      </c>
      <c r="H166" s="198">
        <v>0</v>
      </c>
      <c r="I166" s="198">
        <v>0</v>
      </c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>
        <v>0</v>
      </c>
      <c r="H167" s="198">
        <v>0</v>
      </c>
      <c r="I167" s="198">
        <v>0</v>
      </c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>
        <v>0</v>
      </c>
      <c r="H168" s="198">
        <v>0</v>
      </c>
      <c r="I168" s="198">
        <v>0</v>
      </c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>
        <v>0</v>
      </c>
      <c r="H169" s="198">
        <v>0</v>
      </c>
      <c r="I169" s="198">
        <v>0</v>
      </c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>
        <v>0</v>
      </c>
      <c r="H170" s="198">
        <v>0</v>
      </c>
      <c r="I170" s="198">
        <v>0</v>
      </c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>
        <v>0</v>
      </c>
      <c r="H171" s="198">
        <v>0</v>
      </c>
      <c r="I171" s="198">
        <v>0</v>
      </c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>
        <v>0</v>
      </c>
      <c r="H172" s="198">
        <v>0</v>
      </c>
      <c r="I172" s="198">
        <v>0</v>
      </c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>
        <v>0</v>
      </c>
      <c r="H173" s="198">
        <v>0</v>
      </c>
      <c r="I173" s="198">
        <v>0</v>
      </c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>
        <v>0</v>
      </c>
      <c r="H174" s="198">
        <v>0</v>
      </c>
      <c r="I174" s="198">
        <v>0</v>
      </c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>
        <v>0</v>
      </c>
      <c r="H175" s="198">
        <v>0</v>
      </c>
      <c r="I175" s="198">
        <v>0</v>
      </c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>
        <v>0</v>
      </c>
      <c r="H176" s="198">
        <v>0</v>
      </c>
      <c r="I176" s="198">
        <v>0</v>
      </c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>
        <v>0</v>
      </c>
      <c r="H177" s="198">
        <v>0</v>
      </c>
      <c r="I177" s="198">
        <v>0</v>
      </c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>
        <v>0</v>
      </c>
      <c r="H178" s="198">
        <v>0</v>
      </c>
      <c r="I178" s="198">
        <v>0</v>
      </c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>
        <v>0</v>
      </c>
      <c r="H179" s="198">
        <v>0</v>
      </c>
      <c r="I179" s="198">
        <v>0</v>
      </c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>
        <v>0</v>
      </c>
      <c r="H180" s="198">
        <v>0</v>
      </c>
      <c r="I180" s="198">
        <v>0</v>
      </c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>
        <v>0</v>
      </c>
      <c r="H181" s="198">
        <v>0</v>
      </c>
      <c r="I181" s="198">
        <v>0</v>
      </c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>
        <v>0</v>
      </c>
      <c r="H182" s="198">
        <v>0</v>
      </c>
      <c r="I182" s="198">
        <v>0</v>
      </c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>
        <v>0</v>
      </c>
      <c r="H183" s="198">
        <v>0</v>
      </c>
      <c r="I183" s="198">
        <v>0</v>
      </c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>
        <v>0</v>
      </c>
      <c r="H184" s="198">
        <v>0</v>
      </c>
      <c r="I184" s="198">
        <v>0</v>
      </c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>
        <v>0</v>
      </c>
      <c r="H185" s="198">
        <v>0</v>
      </c>
      <c r="I185" s="198">
        <v>0</v>
      </c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>
        <v>0</v>
      </c>
      <c r="H186" s="198">
        <v>0</v>
      </c>
      <c r="I186" s="198">
        <v>0</v>
      </c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>
        <v>0</v>
      </c>
      <c r="H187" s="198">
        <v>0</v>
      </c>
      <c r="I187" s="198">
        <v>0</v>
      </c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>
        <v>0</v>
      </c>
      <c r="H188" s="198">
        <v>0</v>
      </c>
      <c r="I188" s="198">
        <v>0</v>
      </c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>
        <v>0</v>
      </c>
      <c r="H189" s="198">
        <v>0</v>
      </c>
      <c r="I189" s="198">
        <v>0</v>
      </c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>
        <v>0</v>
      </c>
      <c r="H190" s="198">
        <v>0</v>
      </c>
      <c r="I190" s="198">
        <v>0</v>
      </c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>
        <v>0</v>
      </c>
      <c r="H191" s="198">
        <v>0</v>
      </c>
      <c r="I191" s="198">
        <v>0</v>
      </c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>
        <v>0</v>
      </c>
      <c r="H192" s="198">
        <v>0</v>
      </c>
      <c r="I192" s="198">
        <v>0</v>
      </c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>
        <v>0</v>
      </c>
      <c r="H193" s="198">
        <v>0</v>
      </c>
      <c r="I193" s="198">
        <v>0</v>
      </c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>
        <v>0</v>
      </c>
      <c r="H194" s="198">
        <v>0</v>
      </c>
      <c r="I194" s="198">
        <v>0</v>
      </c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>
        <v>0</v>
      </c>
      <c r="H195" s="198">
        <v>0</v>
      </c>
      <c r="I195" s="198">
        <v>0</v>
      </c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>
        <v>0</v>
      </c>
      <c r="H196" s="198">
        <v>0</v>
      </c>
      <c r="I196" s="198">
        <v>0</v>
      </c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>
        <v>0</v>
      </c>
      <c r="H197" s="198">
        <v>0</v>
      </c>
      <c r="I197" s="198">
        <v>0</v>
      </c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>
        <v>0</v>
      </c>
      <c r="H198" s="198">
        <v>0</v>
      </c>
      <c r="I198" s="198">
        <v>0</v>
      </c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>
        <v>0</v>
      </c>
      <c r="H199" s="198">
        <v>0</v>
      </c>
      <c r="I199" s="198">
        <v>0</v>
      </c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>
        <v>0</v>
      </c>
      <c r="H200" s="198">
        <v>0</v>
      </c>
      <c r="I200" s="198">
        <v>0</v>
      </c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>
        <v>0</v>
      </c>
      <c r="H201" s="198">
        <v>0</v>
      </c>
      <c r="I201" s="198">
        <v>0</v>
      </c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>
        <v>0</v>
      </c>
      <c r="H202" s="198">
        <v>0</v>
      </c>
      <c r="I202" s="198">
        <v>0</v>
      </c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>
        <v>0</v>
      </c>
      <c r="H203" s="198">
        <v>0</v>
      </c>
      <c r="I203" s="198">
        <v>0</v>
      </c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>
        <v>0</v>
      </c>
      <c r="H204" s="198">
        <v>0</v>
      </c>
      <c r="I204" s="198">
        <v>0</v>
      </c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>
        <v>0</v>
      </c>
      <c r="H205" s="198">
        <v>0</v>
      </c>
      <c r="I205" s="198">
        <v>0</v>
      </c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>
        <v>0</v>
      </c>
      <c r="H206" s="198">
        <v>0</v>
      </c>
      <c r="I206" s="198">
        <v>0</v>
      </c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>
        <v>0</v>
      </c>
      <c r="H207" s="198">
        <v>0</v>
      </c>
      <c r="I207" s="198">
        <v>0</v>
      </c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>
        <v>0</v>
      </c>
      <c r="H208" s="198">
        <v>0</v>
      </c>
      <c r="I208" s="198">
        <v>0</v>
      </c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>
        <v>0</v>
      </c>
      <c r="H209" s="198">
        <v>0</v>
      </c>
      <c r="I209" s="198">
        <v>0</v>
      </c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>
        <v>0</v>
      </c>
      <c r="H210" s="198">
        <v>0</v>
      </c>
      <c r="I210" s="198">
        <v>0</v>
      </c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>
        <v>0</v>
      </c>
      <c r="H211" s="198">
        <v>0</v>
      </c>
      <c r="I211" s="198">
        <v>0</v>
      </c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>
        <v>0</v>
      </c>
      <c r="H212" s="198">
        <v>0</v>
      </c>
      <c r="I212" s="198">
        <v>0</v>
      </c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>
        <v>0</v>
      </c>
      <c r="H213" s="198">
        <v>0</v>
      </c>
      <c r="I213" s="198">
        <v>0</v>
      </c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>
        <v>0</v>
      </c>
      <c r="H214" s="198">
        <v>0</v>
      </c>
      <c r="I214" s="198">
        <v>0</v>
      </c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>
        <v>0</v>
      </c>
      <c r="H215" s="198">
        <v>0</v>
      </c>
      <c r="I215" s="198">
        <v>0</v>
      </c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>
        <v>0</v>
      </c>
      <c r="H216" s="198">
        <v>0</v>
      </c>
      <c r="I216" s="198">
        <v>0</v>
      </c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>
        <v>0</v>
      </c>
      <c r="H217" s="198">
        <v>0</v>
      </c>
      <c r="I217" s="198">
        <v>0</v>
      </c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>
        <v>0</v>
      </c>
      <c r="H218" s="198">
        <v>0</v>
      </c>
      <c r="I218" s="198">
        <v>0</v>
      </c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>
        <v>0</v>
      </c>
      <c r="H219" s="198">
        <v>0</v>
      </c>
      <c r="I219" s="198">
        <v>0</v>
      </c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>
        <v>0</v>
      </c>
      <c r="H220" s="198">
        <v>0</v>
      </c>
      <c r="I220" s="198">
        <v>0</v>
      </c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>
        <v>0</v>
      </c>
      <c r="H221" s="198">
        <v>0</v>
      </c>
      <c r="I221" s="198">
        <v>0</v>
      </c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>
        <v>0</v>
      </c>
      <c r="H222" s="198">
        <v>0</v>
      </c>
      <c r="I222" s="198">
        <v>0</v>
      </c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>
        <v>0</v>
      </c>
      <c r="H223" s="198">
        <v>0</v>
      </c>
      <c r="I223" s="198">
        <v>0</v>
      </c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>
        <v>0</v>
      </c>
      <c r="H224" s="198">
        <v>0</v>
      </c>
      <c r="I224" s="198">
        <v>0</v>
      </c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>
        <v>0</v>
      </c>
      <c r="H225" s="198">
        <v>0</v>
      </c>
      <c r="I225" s="198">
        <v>0</v>
      </c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>
        <v>0</v>
      </c>
      <c r="H226" s="198">
        <v>0</v>
      </c>
      <c r="I226" s="198">
        <v>0</v>
      </c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>
        <v>0</v>
      </c>
      <c r="H227" s="198">
        <v>0</v>
      </c>
      <c r="I227" s="198">
        <v>0</v>
      </c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>
        <v>0</v>
      </c>
      <c r="H228" s="198">
        <v>0</v>
      </c>
      <c r="I228" s="198">
        <v>0</v>
      </c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>
        <v>0</v>
      </c>
      <c r="H229" s="198">
        <v>0</v>
      </c>
      <c r="I229" s="198">
        <v>0</v>
      </c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>
        <v>0</v>
      </c>
      <c r="H230" s="198">
        <v>0</v>
      </c>
      <c r="I230" s="198">
        <v>0</v>
      </c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>
        <v>0</v>
      </c>
      <c r="H231" s="198">
        <v>0</v>
      </c>
      <c r="I231" s="198">
        <v>0</v>
      </c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>
        <v>0</v>
      </c>
      <c r="H232" s="198">
        <v>0</v>
      </c>
      <c r="I232" s="198">
        <v>0</v>
      </c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>
        <v>0</v>
      </c>
      <c r="H233" s="198">
        <v>0</v>
      </c>
      <c r="I233" s="198">
        <v>0</v>
      </c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>
        <v>0</v>
      </c>
      <c r="H234" s="198">
        <v>0</v>
      </c>
      <c r="I234" s="198">
        <v>0</v>
      </c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>
        <v>0</v>
      </c>
      <c r="H235" s="198">
        <v>0</v>
      </c>
      <c r="I235" s="198">
        <v>0</v>
      </c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>
        <v>0</v>
      </c>
      <c r="H236" s="198">
        <v>0</v>
      </c>
      <c r="I236" s="198">
        <v>0</v>
      </c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>
        <v>0</v>
      </c>
      <c r="H237" s="198">
        <v>0</v>
      </c>
      <c r="I237" s="198">
        <v>0</v>
      </c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>
        <v>0</v>
      </c>
      <c r="H238" s="198">
        <v>0</v>
      </c>
      <c r="I238" s="198">
        <v>0</v>
      </c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>
        <v>0</v>
      </c>
      <c r="H239" s="198">
        <v>0</v>
      </c>
      <c r="I239" s="198">
        <v>0</v>
      </c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>
        <v>0</v>
      </c>
      <c r="H240" s="198">
        <v>0</v>
      </c>
      <c r="I240" s="198">
        <v>0</v>
      </c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>
        <v>0</v>
      </c>
      <c r="H241" s="198">
        <v>0</v>
      </c>
      <c r="I241" s="198">
        <v>0</v>
      </c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>
        <v>0</v>
      </c>
      <c r="H242" s="198">
        <v>0</v>
      </c>
      <c r="I242" s="198">
        <v>0</v>
      </c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>
        <v>0</v>
      </c>
      <c r="H243" s="198">
        <v>0</v>
      </c>
      <c r="I243" s="198">
        <v>0</v>
      </c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>
        <v>0</v>
      </c>
      <c r="H244" s="198">
        <v>0</v>
      </c>
      <c r="I244" s="198">
        <v>0</v>
      </c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>
        <v>0</v>
      </c>
      <c r="H245" s="198">
        <v>0</v>
      </c>
      <c r="I245" s="198">
        <v>0</v>
      </c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>
        <v>0</v>
      </c>
      <c r="H246" s="198">
        <v>0</v>
      </c>
      <c r="I246" s="198">
        <v>0</v>
      </c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>
        <v>0</v>
      </c>
      <c r="H247" s="198">
        <v>0</v>
      </c>
      <c r="I247" s="198">
        <v>0</v>
      </c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>
        <v>0</v>
      </c>
      <c r="H248" s="198">
        <v>0</v>
      </c>
      <c r="I248" s="198">
        <v>0</v>
      </c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>
        <v>0</v>
      </c>
      <c r="H249" s="198">
        <v>0</v>
      </c>
      <c r="I249" s="198">
        <v>0</v>
      </c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>
        <v>0</v>
      </c>
      <c r="H250" s="198">
        <v>0</v>
      </c>
      <c r="I250" s="198">
        <v>0</v>
      </c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>
        <v>0</v>
      </c>
      <c r="H251" s="198">
        <v>0</v>
      </c>
      <c r="I251" s="198">
        <v>0</v>
      </c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>
        <v>0</v>
      </c>
      <c r="H252" s="198">
        <v>0</v>
      </c>
      <c r="I252" s="198">
        <v>0</v>
      </c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>
        <v>0</v>
      </c>
      <c r="H253" s="198">
        <v>0</v>
      </c>
      <c r="I253" s="198">
        <v>0</v>
      </c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>
        <v>0</v>
      </c>
      <c r="H254" s="198">
        <v>0</v>
      </c>
      <c r="I254" s="198">
        <v>0</v>
      </c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>
        <v>0</v>
      </c>
      <c r="H255" s="198">
        <v>0</v>
      </c>
      <c r="I255" s="198">
        <v>0</v>
      </c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>
        <v>0</v>
      </c>
      <c r="H256" s="198">
        <v>0</v>
      </c>
      <c r="I256" s="198">
        <v>0</v>
      </c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>
        <v>0</v>
      </c>
      <c r="H257" s="198">
        <v>0</v>
      </c>
      <c r="I257" s="198">
        <v>0</v>
      </c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>
        <v>0</v>
      </c>
      <c r="H258" s="198">
        <v>0</v>
      </c>
      <c r="I258" s="198">
        <v>0</v>
      </c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>
        <v>0</v>
      </c>
      <c r="H259" s="198">
        <v>0</v>
      </c>
      <c r="I259" s="198">
        <v>0</v>
      </c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>
        <v>0</v>
      </c>
      <c r="H260" s="198">
        <v>0</v>
      </c>
      <c r="I260" s="198">
        <v>0</v>
      </c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>
        <v>0</v>
      </c>
      <c r="H261" s="198">
        <v>0</v>
      </c>
      <c r="I261" s="198">
        <v>0</v>
      </c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>
        <v>0</v>
      </c>
      <c r="H262" s="198">
        <v>0</v>
      </c>
      <c r="I262" s="198">
        <v>0</v>
      </c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>
        <v>0</v>
      </c>
      <c r="H263" s="198">
        <v>0</v>
      </c>
      <c r="I263" s="198">
        <v>0</v>
      </c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>
        <v>0</v>
      </c>
      <c r="H264" s="198">
        <v>0</v>
      </c>
      <c r="I264" s="198">
        <v>0</v>
      </c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>
        <v>0</v>
      </c>
      <c r="H265" s="198">
        <v>0</v>
      </c>
      <c r="I265" s="198">
        <v>0</v>
      </c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>
        <v>0</v>
      </c>
      <c r="H266" s="198">
        <v>0</v>
      </c>
      <c r="I266" s="198">
        <v>0</v>
      </c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>
        <v>0</v>
      </c>
      <c r="H267" s="198">
        <v>0</v>
      </c>
      <c r="I267" s="198">
        <v>0</v>
      </c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>
        <v>0</v>
      </c>
      <c r="H268" s="198">
        <v>0</v>
      </c>
      <c r="I268" s="198">
        <v>0</v>
      </c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>
        <v>0</v>
      </c>
      <c r="H269" s="198">
        <v>0</v>
      </c>
      <c r="I269" s="198">
        <v>0</v>
      </c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>
        <v>0</v>
      </c>
      <c r="H270" s="198">
        <v>0</v>
      </c>
      <c r="I270" s="198">
        <v>0</v>
      </c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>
        <v>0</v>
      </c>
      <c r="H271" s="198">
        <v>0</v>
      </c>
      <c r="I271" s="198">
        <v>0</v>
      </c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>
        <v>0</v>
      </c>
      <c r="H272" s="198">
        <v>0</v>
      </c>
      <c r="I272" s="198">
        <v>0</v>
      </c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>
        <v>0</v>
      </c>
      <c r="H273" s="198">
        <v>0</v>
      </c>
      <c r="I273" s="198">
        <v>0</v>
      </c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>
        <v>0</v>
      </c>
      <c r="H274" s="198">
        <v>0</v>
      </c>
      <c r="I274" s="198">
        <v>0</v>
      </c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>
        <v>0</v>
      </c>
      <c r="H275" s="198">
        <v>0</v>
      </c>
      <c r="I275" s="198">
        <v>0</v>
      </c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>
        <v>0</v>
      </c>
      <c r="H276" s="198">
        <v>0</v>
      </c>
      <c r="I276" s="198">
        <v>0</v>
      </c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>
        <v>0</v>
      </c>
      <c r="H277" s="198">
        <v>0</v>
      </c>
      <c r="I277" s="198">
        <v>0</v>
      </c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>
        <v>0</v>
      </c>
      <c r="H278" s="198">
        <v>0</v>
      </c>
      <c r="I278" s="198">
        <v>0</v>
      </c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>
        <v>0</v>
      </c>
      <c r="H279" s="198">
        <v>0</v>
      </c>
      <c r="I279" s="198">
        <v>0</v>
      </c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>
        <v>0</v>
      </c>
      <c r="H280" s="198">
        <v>0</v>
      </c>
      <c r="I280" s="198">
        <v>0</v>
      </c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>
        <v>0</v>
      </c>
      <c r="H281" s="198">
        <v>0</v>
      </c>
      <c r="I281" s="198">
        <v>0</v>
      </c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>
        <v>0</v>
      </c>
      <c r="H282" s="198">
        <v>0</v>
      </c>
      <c r="I282" s="198">
        <v>0</v>
      </c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>
        <v>0</v>
      </c>
      <c r="H283" s="198">
        <v>0</v>
      </c>
      <c r="I283" s="198">
        <v>0</v>
      </c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>
        <v>0</v>
      </c>
      <c r="H284" s="198">
        <v>0</v>
      </c>
      <c r="I284" s="198">
        <v>0</v>
      </c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>
        <v>0</v>
      </c>
      <c r="H285" s="198">
        <v>0</v>
      </c>
      <c r="I285" s="198">
        <v>0</v>
      </c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>
        <v>0</v>
      </c>
      <c r="H286" s="198">
        <v>0</v>
      </c>
      <c r="I286" s="198">
        <v>0</v>
      </c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>
        <v>0</v>
      </c>
      <c r="H287" s="198">
        <v>0</v>
      </c>
      <c r="I287" s="198">
        <v>0</v>
      </c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>
        <v>0</v>
      </c>
      <c r="H288" s="198">
        <v>0</v>
      </c>
      <c r="I288" s="198">
        <v>0</v>
      </c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>
        <v>0</v>
      </c>
      <c r="H289" s="198">
        <v>0</v>
      </c>
      <c r="I289" s="198">
        <v>0</v>
      </c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>
        <v>0</v>
      </c>
      <c r="H290" s="198">
        <v>0</v>
      </c>
      <c r="I290" s="198">
        <v>0</v>
      </c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>
        <v>0</v>
      </c>
      <c r="H291" s="198">
        <v>0</v>
      </c>
      <c r="I291" s="198">
        <v>0</v>
      </c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>
        <v>0</v>
      </c>
      <c r="H292" s="198">
        <v>0</v>
      </c>
      <c r="I292" s="198">
        <v>0</v>
      </c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>
        <v>0</v>
      </c>
      <c r="H293" s="198">
        <v>0</v>
      </c>
      <c r="I293" s="198">
        <v>0</v>
      </c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>
        <v>0</v>
      </c>
      <c r="H294" s="198">
        <v>0</v>
      </c>
      <c r="I294" s="198">
        <v>0</v>
      </c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>
        <v>0</v>
      </c>
      <c r="H295" s="198">
        <v>0</v>
      </c>
      <c r="I295" s="198">
        <v>0</v>
      </c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>
        <v>0</v>
      </c>
      <c r="H296" s="198">
        <v>0</v>
      </c>
      <c r="I296" s="198">
        <v>0</v>
      </c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>
        <v>0</v>
      </c>
      <c r="H297" s="198">
        <v>0</v>
      </c>
      <c r="I297" s="198">
        <v>0</v>
      </c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>
        <v>0</v>
      </c>
      <c r="H298" s="198">
        <v>0</v>
      </c>
      <c r="I298" s="198">
        <v>0</v>
      </c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>
        <v>0</v>
      </c>
      <c r="H299" s="198">
        <v>0</v>
      </c>
      <c r="I299" s="198">
        <v>0</v>
      </c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>
        <v>0</v>
      </c>
      <c r="H300" s="198">
        <v>0</v>
      </c>
      <c r="I300" s="198">
        <v>0</v>
      </c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>
        <v>0</v>
      </c>
      <c r="H301" s="198">
        <v>0</v>
      </c>
      <c r="I301" s="198">
        <v>0</v>
      </c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>
        <v>0</v>
      </c>
      <c r="H302" s="198">
        <v>0</v>
      </c>
      <c r="I302" s="198">
        <v>0</v>
      </c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>
        <v>0</v>
      </c>
      <c r="H303" s="198">
        <v>0</v>
      </c>
      <c r="I303" s="198">
        <v>0</v>
      </c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>
        <v>0</v>
      </c>
      <c r="H304" s="198">
        <v>0</v>
      </c>
      <c r="I304" s="198">
        <v>0</v>
      </c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>
        <v>0</v>
      </c>
      <c r="H305" s="198">
        <v>0</v>
      </c>
      <c r="I305" s="198">
        <v>0</v>
      </c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>
        <v>0</v>
      </c>
      <c r="H306" s="198">
        <v>0</v>
      </c>
      <c r="I306" s="198">
        <v>0</v>
      </c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>
        <v>0</v>
      </c>
      <c r="H307" s="198">
        <v>0</v>
      </c>
      <c r="I307" s="198">
        <v>0</v>
      </c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>
        <v>0</v>
      </c>
      <c r="H308" s="198">
        <v>0</v>
      </c>
      <c r="I308" s="198">
        <v>0</v>
      </c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>
        <v>0</v>
      </c>
      <c r="H309" s="198">
        <v>0</v>
      </c>
      <c r="I309" s="198">
        <v>0</v>
      </c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>
        <v>0</v>
      </c>
      <c r="H310" s="198">
        <v>0</v>
      </c>
      <c r="I310" s="198">
        <v>0</v>
      </c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>
        <v>0</v>
      </c>
      <c r="H311" s="198">
        <v>0</v>
      </c>
      <c r="I311" s="198">
        <v>0</v>
      </c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>
        <v>0</v>
      </c>
      <c r="H312" s="198">
        <v>0</v>
      </c>
      <c r="I312" s="198">
        <v>0</v>
      </c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>
        <v>0</v>
      </c>
      <c r="H313" s="198">
        <v>0</v>
      </c>
      <c r="I313" s="198">
        <v>0</v>
      </c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>
        <v>0</v>
      </c>
      <c r="H314" s="198">
        <v>0</v>
      </c>
      <c r="I314" s="198">
        <v>0</v>
      </c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>
        <v>0</v>
      </c>
      <c r="H315" s="198">
        <v>0</v>
      </c>
      <c r="I315" s="198">
        <v>0</v>
      </c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>
        <v>0</v>
      </c>
      <c r="H316" s="198">
        <v>0</v>
      </c>
      <c r="I316" s="198">
        <v>0</v>
      </c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>
        <v>0</v>
      </c>
      <c r="H317" s="198">
        <v>0</v>
      </c>
      <c r="I317" s="198">
        <v>0</v>
      </c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>
        <v>0</v>
      </c>
      <c r="H318" s="198">
        <v>0</v>
      </c>
      <c r="I318" s="198">
        <v>0</v>
      </c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>
        <v>0</v>
      </c>
      <c r="H319" s="198">
        <v>0</v>
      </c>
      <c r="I319" s="198">
        <v>0</v>
      </c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>
        <v>0</v>
      </c>
      <c r="H320" s="198">
        <v>0</v>
      </c>
      <c r="I320" s="198">
        <v>0</v>
      </c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>
        <v>0</v>
      </c>
      <c r="H321" s="198">
        <v>0</v>
      </c>
      <c r="I321" s="198">
        <v>0</v>
      </c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>
        <v>0</v>
      </c>
      <c r="H322" s="198">
        <v>0</v>
      </c>
      <c r="I322" s="198">
        <v>0</v>
      </c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>
        <v>0</v>
      </c>
      <c r="H323" s="198">
        <v>0</v>
      </c>
      <c r="I323" s="198">
        <v>0</v>
      </c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>
        <v>0</v>
      </c>
      <c r="H324" s="198">
        <v>0</v>
      </c>
      <c r="I324" s="198">
        <v>0</v>
      </c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>
        <v>0</v>
      </c>
      <c r="H325" s="198">
        <v>0</v>
      </c>
      <c r="I325" s="198">
        <v>0</v>
      </c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>
        <v>0</v>
      </c>
      <c r="H326" s="198">
        <v>0</v>
      </c>
      <c r="I326" s="198">
        <v>0</v>
      </c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>
        <v>0</v>
      </c>
      <c r="H327" s="198">
        <v>0</v>
      </c>
      <c r="I327" s="198">
        <v>0</v>
      </c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>
        <v>0</v>
      </c>
      <c r="H328" s="198">
        <v>0</v>
      </c>
      <c r="I328" s="198">
        <v>0</v>
      </c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>
        <v>0</v>
      </c>
      <c r="H329" s="198">
        <v>0</v>
      </c>
      <c r="I329" s="198">
        <v>0</v>
      </c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>
        <v>0</v>
      </c>
      <c r="H330" s="198">
        <v>0</v>
      </c>
      <c r="I330" s="198">
        <v>0</v>
      </c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>
        <v>0</v>
      </c>
      <c r="H331" s="198">
        <v>0</v>
      </c>
      <c r="I331" s="198">
        <v>0</v>
      </c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>
        <v>0</v>
      </c>
      <c r="H332" s="198">
        <v>0</v>
      </c>
      <c r="I332" s="198">
        <v>0</v>
      </c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>
        <v>0</v>
      </c>
      <c r="H333" s="198">
        <v>0</v>
      </c>
      <c r="I333" s="198">
        <v>0</v>
      </c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>
        <v>0</v>
      </c>
      <c r="H334" s="198">
        <v>0</v>
      </c>
      <c r="I334" s="198">
        <v>0</v>
      </c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>
        <v>0</v>
      </c>
      <c r="H335" s="198">
        <v>0</v>
      </c>
      <c r="I335" s="198">
        <v>0</v>
      </c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>
        <v>0</v>
      </c>
      <c r="H336" s="198">
        <v>0</v>
      </c>
      <c r="I336" s="198">
        <v>0</v>
      </c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>
        <v>0</v>
      </c>
      <c r="H337" s="198">
        <v>0</v>
      </c>
      <c r="I337" s="198">
        <v>0</v>
      </c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>
        <v>0</v>
      </c>
      <c r="H338" s="198">
        <v>0</v>
      </c>
      <c r="I338" s="198">
        <v>0</v>
      </c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>
        <v>0</v>
      </c>
      <c r="H339" s="198">
        <v>0</v>
      </c>
      <c r="I339" s="198">
        <v>0</v>
      </c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>
        <v>0</v>
      </c>
      <c r="H340" s="198">
        <v>0</v>
      </c>
      <c r="I340" s="198">
        <v>0</v>
      </c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>
        <v>0</v>
      </c>
      <c r="H341" s="198">
        <v>0</v>
      </c>
      <c r="I341" s="198">
        <v>0</v>
      </c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>
        <v>0</v>
      </c>
      <c r="H342" s="198">
        <v>0</v>
      </c>
      <c r="I342" s="198">
        <v>0</v>
      </c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>
        <v>0</v>
      </c>
      <c r="H343" s="198">
        <v>0</v>
      </c>
      <c r="I343" s="198">
        <v>0</v>
      </c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>
        <v>0</v>
      </c>
      <c r="H344" s="198">
        <v>0</v>
      </c>
      <c r="I344" s="198">
        <v>0</v>
      </c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>
        <v>0</v>
      </c>
      <c r="H345" s="198">
        <v>0</v>
      </c>
      <c r="I345" s="198">
        <v>0</v>
      </c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>
        <v>0</v>
      </c>
      <c r="H346" s="198">
        <v>0</v>
      </c>
      <c r="I346" s="198">
        <v>0</v>
      </c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>
        <v>0</v>
      </c>
      <c r="H347" s="198">
        <v>0</v>
      </c>
      <c r="I347" s="198">
        <v>0</v>
      </c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>
        <v>0</v>
      </c>
      <c r="H348" s="198">
        <v>0</v>
      </c>
      <c r="I348" s="198">
        <v>0</v>
      </c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>
        <v>0</v>
      </c>
      <c r="H349" s="198">
        <v>0</v>
      </c>
      <c r="I349" s="198">
        <v>0</v>
      </c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>
        <v>0</v>
      </c>
      <c r="H350" s="198">
        <v>0</v>
      </c>
      <c r="I350" s="198">
        <v>0</v>
      </c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>
        <v>0</v>
      </c>
      <c r="H351" s="198">
        <v>0</v>
      </c>
      <c r="I351" s="198">
        <v>0</v>
      </c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>
        <v>0</v>
      </c>
      <c r="H352" s="198">
        <v>0</v>
      </c>
      <c r="I352" s="198">
        <v>0</v>
      </c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>
        <v>0</v>
      </c>
      <c r="H353" s="198">
        <v>0</v>
      </c>
      <c r="I353" s="198">
        <v>0</v>
      </c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>
        <v>0</v>
      </c>
      <c r="H354" s="198">
        <v>0</v>
      </c>
      <c r="I354" s="198">
        <v>0</v>
      </c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>
        <v>0</v>
      </c>
      <c r="H355" s="198">
        <v>0</v>
      </c>
      <c r="I355" s="198">
        <v>0</v>
      </c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>
        <v>0</v>
      </c>
      <c r="H356" s="198">
        <v>0</v>
      </c>
      <c r="I356" s="198">
        <v>0</v>
      </c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>
        <v>0</v>
      </c>
      <c r="H357" s="198">
        <v>0</v>
      </c>
      <c r="I357" s="198">
        <v>0</v>
      </c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>
        <v>0</v>
      </c>
      <c r="H358" s="198">
        <v>0</v>
      </c>
      <c r="I358" s="198">
        <v>0</v>
      </c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>
        <v>0</v>
      </c>
      <c r="H359" s="198">
        <v>0</v>
      </c>
      <c r="I359" s="198">
        <v>0</v>
      </c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>
        <v>0</v>
      </c>
      <c r="H360" s="198">
        <v>0</v>
      </c>
      <c r="I360" s="198">
        <v>0</v>
      </c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>
        <v>0</v>
      </c>
      <c r="H361" s="198">
        <v>0</v>
      </c>
      <c r="I361" s="198">
        <v>0</v>
      </c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>
        <v>0</v>
      </c>
      <c r="H362" s="198">
        <v>0</v>
      </c>
      <c r="I362" s="198">
        <v>0</v>
      </c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>
        <v>0</v>
      </c>
      <c r="H363" s="198">
        <v>0</v>
      </c>
      <c r="I363" s="198">
        <v>0</v>
      </c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>
        <v>0</v>
      </c>
      <c r="H364" s="198">
        <v>0</v>
      </c>
      <c r="I364" s="198">
        <v>0</v>
      </c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>
        <v>0</v>
      </c>
      <c r="H365" s="198">
        <v>0</v>
      </c>
      <c r="I365" s="198">
        <v>0</v>
      </c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>
        <v>0</v>
      </c>
      <c r="H366" s="198">
        <v>0</v>
      </c>
      <c r="I366" s="198">
        <v>0</v>
      </c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>
        <v>0</v>
      </c>
      <c r="H367" s="198">
        <v>0</v>
      </c>
      <c r="I367" s="198">
        <v>0</v>
      </c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>
        <v>0</v>
      </c>
      <c r="H368" s="198">
        <v>0</v>
      </c>
      <c r="I368" s="198">
        <v>0</v>
      </c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>
        <v>0</v>
      </c>
      <c r="H369" s="198">
        <v>0</v>
      </c>
      <c r="I369" s="198">
        <v>0</v>
      </c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>
        <v>0</v>
      </c>
      <c r="H370" s="198">
        <v>0</v>
      </c>
      <c r="I370" s="198">
        <v>0</v>
      </c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>
        <v>0</v>
      </c>
      <c r="H371" s="198">
        <v>0</v>
      </c>
      <c r="I371" s="198">
        <v>0</v>
      </c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>
        <v>0</v>
      </c>
      <c r="H372" s="198">
        <v>0</v>
      </c>
      <c r="I372" s="198">
        <v>0</v>
      </c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>
        <v>0</v>
      </c>
      <c r="H373" s="198">
        <v>0</v>
      </c>
      <c r="I373" s="198">
        <v>0</v>
      </c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>
        <v>0</v>
      </c>
      <c r="H374" s="198">
        <v>0</v>
      </c>
      <c r="I374" s="198">
        <v>0</v>
      </c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>
        <v>0</v>
      </c>
      <c r="H375" s="198">
        <v>0</v>
      </c>
      <c r="I375" s="198">
        <v>0</v>
      </c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>
        <v>0</v>
      </c>
      <c r="H376" s="198">
        <v>0</v>
      </c>
      <c r="I376" s="198">
        <v>0</v>
      </c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>
        <v>0</v>
      </c>
      <c r="H377" s="198">
        <v>0</v>
      </c>
      <c r="I377" s="198">
        <v>0</v>
      </c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>
        <v>0</v>
      </c>
      <c r="H378" s="198">
        <v>0</v>
      </c>
      <c r="I378" s="198">
        <v>0</v>
      </c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>
        <v>0</v>
      </c>
      <c r="H379" s="198">
        <v>0</v>
      </c>
      <c r="I379" s="198">
        <v>0</v>
      </c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>
        <v>0</v>
      </c>
      <c r="H380" s="198">
        <v>0</v>
      </c>
      <c r="I380" s="198">
        <v>0</v>
      </c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>
        <v>0</v>
      </c>
      <c r="H381" s="198">
        <v>0</v>
      </c>
      <c r="I381" s="198">
        <v>0</v>
      </c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>
        <v>0</v>
      </c>
      <c r="H382" s="198">
        <v>0</v>
      </c>
      <c r="I382" s="198">
        <v>0</v>
      </c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>
        <v>0</v>
      </c>
      <c r="H383" s="198">
        <v>0</v>
      </c>
      <c r="I383" s="198">
        <v>0</v>
      </c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>
        <v>0</v>
      </c>
      <c r="H384" s="198">
        <v>0</v>
      </c>
      <c r="I384" s="198">
        <v>0</v>
      </c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>
        <v>0</v>
      </c>
      <c r="H385" s="198">
        <v>0</v>
      </c>
      <c r="I385" s="198">
        <v>0</v>
      </c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>
        <v>0</v>
      </c>
      <c r="H386" s="198">
        <v>0</v>
      </c>
      <c r="I386" s="198">
        <v>0</v>
      </c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>
        <v>0</v>
      </c>
      <c r="H387" s="198">
        <v>0</v>
      </c>
      <c r="I387" s="198">
        <v>0</v>
      </c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>
        <v>0</v>
      </c>
      <c r="H388" s="198">
        <v>0</v>
      </c>
      <c r="I388" s="198">
        <v>0</v>
      </c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>
        <v>0</v>
      </c>
      <c r="H389" s="198">
        <v>0</v>
      </c>
      <c r="I389" s="198">
        <v>0</v>
      </c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>
        <v>0</v>
      </c>
      <c r="H390" s="198">
        <v>0</v>
      </c>
      <c r="I390" s="198">
        <v>0</v>
      </c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>
        <v>0</v>
      </c>
      <c r="H391" s="198">
        <v>0</v>
      </c>
      <c r="I391" s="198">
        <v>0</v>
      </c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>
        <v>0</v>
      </c>
      <c r="H392" s="198">
        <v>0</v>
      </c>
      <c r="I392" s="198">
        <v>0</v>
      </c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>
        <v>0</v>
      </c>
      <c r="H393" s="198">
        <v>0</v>
      </c>
      <c r="I393" s="198">
        <v>0</v>
      </c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>
        <v>0</v>
      </c>
      <c r="H394" s="198">
        <v>0</v>
      </c>
      <c r="I394" s="198">
        <v>0</v>
      </c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>
        <v>0</v>
      </c>
      <c r="H395" s="198">
        <v>0</v>
      </c>
      <c r="I395" s="198">
        <v>0</v>
      </c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>
        <v>0</v>
      </c>
      <c r="H396" s="198">
        <v>0</v>
      </c>
      <c r="I396" s="198">
        <v>0</v>
      </c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>
        <v>0</v>
      </c>
      <c r="H397" s="198">
        <v>0</v>
      </c>
      <c r="I397" s="198">
        <v>0</v>
      </c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>
        <v>0</v>
      </c>
      <c r="H398" s="198">
        <v>0</v>
      </c>
      <c r="I398" s="198">
        <v>0</v>
      </c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>
        <v>0</v>
      </c>
      <c r="H399" s="198">
        <v>0</v>
      </c>
      <c r="I399" s="198">
        <v>0</v>
      </c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>
        <v>0</v>
      </c>
      <c r="H400" s="198">
        <v>0</v>
      </c>
      <c r="I400" s="198">
        <v>0</v>
      </c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>
        <v>0</v>
      </c>
      <c r="H401" s="198">
        <v>0</v>
      </c>
      <c r="I401" s="198">
        <v>0</v>
      </c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>
        <v>0</v>
      </c>
      <c r="H402" s="198">
        <v>0</v>
      </c>
      <c r="I402" s="198">
        <v>0</v>
      </c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>
        <v>0</v>
      </c>
      <c r="H403" s="198">
        <v>0</v>
      </c>
      <c r="I403" s="198">
        <v>0</v>
      </c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>
        <v>0</v>
      </c>
      <c r="H404" s="198">
        <v>0</v>
      </c>
      <c r="I404" s="198">
        <v>0</v>
      </c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>
        <v>0</v>
      </c>
      <c r="H405" s="198">
        <v>0</v>
      </c>
      <c r="I405" s="198">
        <v>0</v>
      </c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>
        <v>0</v>
      </c>
      <c r="H406" s="198">
        <v>0</v>
      </c>
      <c r="I406" s="198">
        <v>0</v>
      </c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>
        <v>0</v>
      </c>
      <c r="H407" s="198">
        <v>0</v>
      </c>
      <c r="I407" s="198">
        <v>0</v>
      </c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>
        <v>0</v>
      </c>
      <c r="H408" s="198">
        <v>0</v>
      </c>
      <c r="I408" s="198">
        <v>0</v>
      </c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>
        <v>0</v>
      </c>
      <c r="H409" s="198">
        <v>0</v>
      </c>
      <c r="I409" s="198">
        <v>0</v>
      </c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>
        <v>0</v>
      </c>
      <c r="H410" s="198">
        <v>0</v>
      </c>
      <c r="I410" s="198">
        <v>0</v>
      </c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>
        <v>0</v>
      </c>
      <c r="H411" s="198">
        <v>0</v>
      </c>
      <c r="I411" s="198">
        <v>0</v>
      </c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>
        <v>0</v>
      </c>
      <c r="H412" s="198">
        <v>0</v>
      </c>
      <c r="I412" s="198">
        <v>0</v>
      </c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>
        <v>0</v>
      </c>
      <c r="H413" s="198">
        <v>0</v>
      </c>
      <c r="I413" s="198">
        <v>0</v>
      </c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>
        <v>0</v>
      </c>
      <c r="H414" s="198">
        <v>0</v>
      </c>
      <c r="I414" s="198">
        <v>0</v>
      </c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>
        <v>0</v>
      </c>
      <c r="H415" s="198">
        <v>0</v>
      </c>
      <c r="I415" s="198">
        <v>0</v>
      </c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>
        <v>0</v>
      </c>
      <c r="H416" s="198">
        <v>0</v>
      </c>
      <c r="I416" s="198">
        <v>0</v>
      </c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>
        <v>0</v>
      </c>
      <c r="H417" s="198">
        <v>0</v>
      </c>
      <c r="I417" s="198">
        <v>0</v>
      </c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>
        <v>0</v>
      </c>
      <c r="H418" s="198">
        <v>0</v>
      </c>
      <c r="I418" s="198">
        <v>0</v>
      </c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>
        <v>0</v>
      </c>
      <c r="H419" s="198">
        <v>0</v>
      </c>
      <c r="I419" s="198">
        <v>0</v>
      </c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>
        <v>0</v>
      </c>
      <c r="H420" s="198">
        <v>0</v>
      </c>
      <c r="I420" s="198">
        <v>0</v>
      </c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>
        <v>0</v>
      </c>
      <c r="H421" s="198">
        <v>0</v>
      </c>
      <c r="I421" s="198">
        <v>0</v>
      </c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>
        <v>0</v>
      </c>
      <c r="H422" s="198">
        <v>0</v>
      </c>
      <c r="I422" s="198">
        <v>0</v>
      </c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>
        <v>0</v>
      </c>
      <c r="H423" s="198">
        <v>0</v>
      </c>
      <c r="I423" s="198">
        <v>0</v>
      </c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>
        <v>0</v>
      </c>
      <c r="H424" s="198">
        <v>0</v>
      </c>
      <c r="I424" s="198">
        <v>0</v>
      </c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>
        <v>0</v>
      </c>
      <c r="H425" s="198">
        <v>0</v>
      </c>
      <c r="I425" s="198">
        <v>0</v>
      </c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>
        <v>0</v>
      </c>
      <c r="H426" s="198">
        <v>0</v>
      </c>
      <c r="I426" s="198">
        <v>0</v>
      </c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>
        <v>0</v>
      </c>
      <c r="H427" s="198">
        <v>0</v>
      </c>
      <c r="I427" s="198">
        <v>0</v>
      </c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>
        <v>0</v>
      </c>
      <c r="H428" s="198">
        <v>0</v>
      </c>
      <c r="I428" s="198">
        <v>0</v>
      </c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>
        <v>0</v>
      </c>
      <c r="H429" s="198">
        <v>0</v>
      </c>
      <c r="I429" s="198">
        <v>0</v>
      </c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>
        <v>0</v>
      </c>
      <c r="H430" s="198">
        <v>0</v>
      </c>
      <c r="I430" s="198">
        <v>0</v>
      </c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>
        <v>0</v>
      </c>
      <c r="H431" s="198">
        <v>0</v>
      </c>
      <c r="I431" s="198">
        <v>0</v>
      </c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>
        <v>0</v>
      </c>
      <c r="H432" s="198">
        <v>0</v>
      </c>
      <c r="I432" s="198">
        <v>0</v>
      </c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>
        <v>0</v>
      </c>
      <c r="H433" s="198">
        <v>0</v>
      </c>
      <c r="I433" s="198">
        <v>0</v>
      </c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>
        <v>0</v>
      </c>
      <c r="H434" s="198">
        <v>0</v>
      </c>
      <c r="I434" s="198">
        <v>0</v>
      </c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>
        <v>0</v>
      </c>
      <c r="H435" s="198">
        <v>0</v>
      </c>
      <c r="I435" s="198">
        <v>0</v>
      </c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>
        <v>0</v>
      </c>
      <c r="H436" s="198">
        <v>0</v>
      </c>
      <c r="I436" s="198">
        <v>0</v>
      </c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>
        <v>0</v>
      </c>
      <c r="H437" s="198">
        <v>0</v>
      </c>
      <c r="I437" s="198">
        <v>0</v>
      </c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>
        <v>0</v>
      </c>
      <c r="H438" s="198">
        <v>0</v>
      </c>
      <c r="I438" s="198">
        <v>0</v>
      </c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>
        <v>0</v>
      </c>
      <c r="H439" s="198">
        <v>0</v>
      </c>
      <c r="I439" s="198">
        <v>0</v>
      </c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>
        <v>0</v>
      </c>
      <c r="H440" s="198">
        <v>0</v>
      </c>
      <c r="I440" s="198">
        <v>0</v>
      </c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>
        <v>0</v>
      </c>
      <c r="H441" s="198">
        <v>0</v>
      </c>
      <c r="I441" s="198">
        <v>0</v>
      </c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>
        <v>0</v>
      </c>
      <c r="H442" s="198">
        <v>0</v>
      </c>
      <c r="I442" s="198">
        <v>0</v>
      </c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>
        <v>0</v>
      </c>
      <c r="H443" s="198">
        <v>0</v>
      </c>
      <c r="I443" s="198">
        <v>0</v>
      </c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>
        <v>0</v>
      </c>
      <c r="H444" s="198">
        <v>0</v>
      </c>
      <c r="I444" s="198">
        <v>0</v>
      </c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>
        <v>0</v>
      </c>
      <c r="H445" s="198">
        <v>0</v>
      </c>
      <c r="I445" s="198">
        <v>0</v>
      </c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>
        <v>0</v>
      </c>
      <c r="H446" s="198">
        <v>0</v>
      </c>
      <c r="I446" s="198">
        <v>0</v>
      </c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>
        <v>0</v>
      </c>
      <c r="H447" s="198">
        <v>0</v>
      </c>
      <c r="I447" s="198">
        <v>0</v>
      </c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>
        <v>0</v>
      </c>
      <c r="H448" s="198">
        <v>0</v>
      </c>
      <c r="I448" s="198">
        <v>0</v>
      </c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>
        <v>0</v>
      </c>
      <c r="H449" s="198">
        <v>0</v>
      </c>
      <c r="I449" s="198">
        <v>0</v>
      </c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>
        <v>0</v>
      </c>
      <c r="H450" s="198">
        <v>0</v>
      </c>
      <c r="I450" s="198">
        <v>0</v>
      </c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>
        <v>0</v>
      </c>
      <c r="H451" s="198">
        <v>0</v>
      </c>
      <c r="I451" s="198">
        <v>0</v>
      </c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>
        <v>0</v>
      </c>
      <c r="H452" s="198">
        <v>0</v>
      </c>
      <c r="I452" s="198">
        <v>0</v>
      </c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>
        <v>0</v>
      </c>
      <c r="H453" s="198">
        <v>0</v>
      </c>
      <c r="I453" s="198">
        <v>0</v>
      </c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>
        <v>0</v>
      </c>
      <c r="H454" s="198">
        <v>0</v>
      </c>
      <c r="I454" s="198">
        <v>0</v>
      </c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>
        <v>0</v>
      </c>
      <c r="H455" s="198">
        <v>0</v>
      </c>
      <c r="I455" s="198">
        <v>0</v>
      </c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>
        <v>0</v>
      </c>
      <c r="H456" s="198">
        <v>0</v>
      </c>
      <c r="I456" s="198">
        <v>0</v>
      </c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>
        <v>0</v>
      </c>
      <c r="H457" s="198">
        <v>0</v>
      </c>
      <c r="I457" s="198">
        <v>0</v>
      </c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>
        <v>0</v>
      </c>
      <c r="H458" s="198">
        <v>0</v>
      </c>
      <c r="I458" s="198">
        <v>0</v>
      </c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>
        <v>0</v>
      </c>
      <c r="H459" s="198">
        <v>0</v>
      </c>
      <c r="I459" s="198">
        <v>0</v>
      </c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>
        <v>0</v>
      </c>
      <c r="H460" s="198">
        <v>0</v>
      </c>
      <c r="I460" s="198">
        <v>0</v>
      </c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>
        <v>0</v>
      </c>
      <c r="H461" s="198">
        <v>0</v>
      </c>
      <c r="I461" s="198">
        <v>0</v>
      </c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>
        <v>0</v>
      </c>
      <c r="H462" s="198">
        <v>0</v>
      </c>
      <c r="I462" s="198">
        <v>0</v>
      </c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>
        <v>0</v>
      </c>
      <c r="H463" s="198">
        <v>0</v>
      </c>
      <c r="I463" s="198">
        <v>0</v>
      </c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>
        <v>0</v>
      </c>
      <c r="H464" s="198">
        <v>0</v>
      </c>
      <c r="I464" s="198">
        <v>0</v>
      </c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>
        <v>0</v>
      </c>
      <c r="H465" s="198">
        <v>0</v>
      </c>
      <c r="I465" s="198">
        <v>0</v>
      </c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>
        <v>0</v>
      </c>
      <c r="H466" s="198">
        <v>0</v>
      </c>
      <c r="I466" s="198">
        <v>0</v>
      </c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>
        <v>0</v>
      </c>
      <c r="H467" s="198">
        <v>0</v>
      </c>
      <c r="I467" s="198">
        <v>0</v>
      </c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>
        <v>0</v>
      </c>
      <c r="H468" s="198">
        <v>0</v>
      </c>
      <c r="I468" s="198">
        <v>0</v>
      </c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>
        <v>0</v>
      </c>
      <c r="H469" s="198">
        <v>0</v>
      </c>
      <c r="I469" s="198">
        <v>0</v>
      </c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>
        <v>0</v>
      </c>
      <c r="H470" s="198">
        <v>0</v>
      </c>
      <c r="I470" s="198">
        <v>0</v>
      </c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>
        <v>0</v>
      </c>
      <c r="H471" s="198">
        <v>0</v>
      </c>
      <c r="I471" s="198">
        <v>0</v>
      </c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>
        <v>0</v>
      </c>
      <c r="H472" s="198">
        <v>0</v>
      </c>
      <c r="I472" s="198">
        <v>0</v>
      </c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>
        <v>0</v>
      </c>
      <c r="H473" s="198">
        <v>0</v>
      </c>
      <c r="I473" s="198">
        <v>0</v>
      </c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>
        <v>0</v>
      </c>
      <c r="H474" s="198">
        <v>0</v>
      </c>
      <c r="I474" s="198">
        <v>0</v>
      </c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>
        <v>0</v>
      </c>
      <c r="H475" s="198">
        <v>0</v>
      </c>
      <c r="I475" s="198">
        <v>0</v>
      </c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>
        <v>0</v>
      </c>
      <c r="H476" s="198">
        <v>0</v>
      </c>
      <c r="I476" s="198">
        <v>0</v>
      </c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>
        <v>0</v>
      </c>
      <c r="H477" s="198">
        <v>0</v>
      </c>
      <c r="I477" s="198">
        <v>0</v>
      </c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>
        <v>0</v>
      </c>
      <c r="H478" s="198">
        <v>0</v>
      </c>
      <c r="I478" s="198">
        <v>0</v>
      </c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>
        <v>0</v>
      </c>
      <c r="H479" s="198">
        <v>0</v>
      </c>
      <c r="I479" s="198">
        <v>0</v>
      </c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>
        <v>0</v>
      </c>
      <c r="H480" s="198">
        <v>0</v>
      </c>
      <c r="I480" s="198">
        <v>0</v>
      </c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>
        <v>0</v>
      </c>
      <c r="H481" s="198">
        <v>0</v>
      </c>
      <c r="I481" s="198">
        <v>0</v>
      </c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>
        <v>0</v>
      </c>
      <c r="H482" s="198">
        <v>0</v>
      </c>
      <c r="I482" s="198">
        <v>0</v>
      </c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>
        <v>0</v>
      </c>
      <c r="H483" s="198">
        <v>0</v>
      </c>
      <c r="I483" s="198">
        <v>0</v>
      </c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>
        <v>0</v>
      </c>
      <c r="H484" s="198">
        <v>0</v>
      </c>
      <c r="I484" s="198">
        <v>0</v>
      </c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>
        <v>0</v>
      </c>
      <c r="H485" s="198">
        <v>0</v>
      </c>
      <c r="I485" s="198">
        <v>0</v>
      </c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>
        <v>0</v>
      </c>
      <c r="H486" s="198">
        <v>0</v>
      </c>
      <c r="I486" s="198">
        <v>0</v>
      </c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>
        <v>0</v>
      </c>
      <c r="H487" s="198">
        <v>0</v>
      </c>
      <c r="I487" s="198">
        <v>0</v>
      </c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>
        <v>0</v>
      </c>
      <c r="H488" s="198">
        <v>0</v>
      </c>
      <c r="I488" s="198">
        <v>0</v>
      </c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>
        <v>0</v>
      </c>
      <c r="H489" s="198">
        <v>0</v>
      </c>
      <c r="I489" s="198">
        <v>0</v>
      </c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>
        <v>0</v>
      </c>
      <c r="H490" s="198">
        <v>0</v>
      </c>
      <c r="I490" s="198">
        <v>0</v>
      </c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>
        <v>0</v>
      </c>
      <c r="H491" s="198">
        <v>0</v>
      </c>
      <c r="I491" s="198">
        <v>0</v>
      </c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>
        <v>0</v>
      </c>
      <c r="H492" s="198">
        <v>0</v>
      </c>
      <c r="I492" s="198">
        <v>0</v>
      </c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>
        <v>0</v>
      </c>
      <c r="H493" s="198">
        <v>0</v>
      </c>
      <c r="I493" s="198">
        <v>0</v>
      </c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>
        <v>0</v>
      </c>
      <c r="H494" s="198">
        <v>0</v>
      </c>
      <c r="I494" s="198">
        <v>0</v>
      </c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>
        <v>0</v>
      </c>
      <c r="H495" s="198">
        <v>0</v>
      </c>
      <c r="I495" s="198">
        <v>0</v>
      </c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>
        <v>0</v>
      </c>
      <c r="H496" s="198">
        <v>0</v>
      </c>
      <c r="I496" s="198">
        <v>0</v>
      </c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>
        <v>0</v>
      </c>
      <c r="H497" s="198">
        <v>0</v>
      </c>
      <c r="I497" s="198">
        <v>0</v>
      </c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>
        <v>0</v>
      </c>
      <c r="H498" s="198">
        <v>0</v>
      </c>
      <c r="I498" s="198">
        <v>0</v>
      </c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>
        <v>0</v>
      </c>
      <c r="H499" s="198">
        <v>0</v>
      </c>
      <c r="I499" s="198">
        <v>0</v>
      </c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>
        <v>0</v>
      </c>
      <c r="H500" s="198">
        <v>0</v>
      </c>
      <c r="I500" s="198">
        <v>0</v>
      </c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>
        <v>0</v>
      </c>
      <c r="H501" s="198">
        <v>0</v>
      </c>
      <c r="I501" s="198">
        <v>0</v>
      </c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xWindow="788" yWindow="459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B1" workbookViewId="0">
      <pane ySplit="2" topLeftCell="A263" activePane="bottomLeft" state="frozen"/>
      <selection pane="bottomLeft" activeCell="K3" sqref="K3:K27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810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845</v>
      </c>
      <c r="D2" s="146" t="s">
        <v>58</v>
      </c>
      <c r="E2" s="151" t="s">
        <v>843</v>
      </c>
      <c r="F2" s="146" t="s">
        <v>844</v>
      </c>
      <c r="G2" s="151" t="s">
        <v>846</v>
      </c>
      <c r="H2" s="146" t="s">
        <v>60</v>
      </c>
      <c r="I2" s="207" t="s">
        <v>836</v>
      </c>
      <c r="J2" s="207" t="s">
        <v>837</v>
      </c>
      <c r="K2" s="207" t="s">
        <v>838</v>
      </c>
      <c r="M2" s="147" t="s">
        <v>812</v>
      </c>
      <c r="N2" s="147" t="s">
        <v>813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67</v>
      </c>
      <c r="H3" s="149" t="str">
        <f>IFERROR(VLOOKUP(G3,$X$6:$Y$50,2,FALSE),"")</f>
        <v>REDOVNA DJELATNOST SVEUČILIŠTA U ZAGREBU</v>
      </c>
      <c r="I3" s="198">
        <v>32078913.904586494</v>
      </c>
      <c r="J3" s="198">
        <v>33569216.077292211</v>
      </c>
      <c r="K3" s="198">
        <v>33578395.467309996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67</v>
      </c>
      <c r="H4" s="149" t="str">
        <f t="shared" ref="H4:H67" si="2">IFERROR(VLOOKUP(G4,$X$6:$Y$50,2,FALSE),"")</f>
        <v>REDOVNA DJELATNOST SVEUČILIŠTA U ZAGREBU</v>
      </c>
      <c r="I4" s="198">
        <v>880800</v>
      </c>
      <c r="J4" s="198">
        <v>900353.76</v>
      </c>
      <c r="K4" s="198">
        <v>908637.01459200005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67</v>
      </c>
      <c r="H5" s="149" t="str">
        <f t="shared" si="2"/>
        <v>REDOVNA DJELATNOST SVEUČILIŠTA U ZAGREBU</v>
      </c>
      <c r="I5" s="198">
        <v>5072100</v>
      </c>
      <c r="J5" s="198">
        <v>5184700.62</v>
      </c>
      <c r="K5" s="198">
        <v>5232399.8657040009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3211</v>
      </c>
      <c r="F6" s="149" t="str">
        <f t="shared" si="0"/>
        <v>Službena putovanja</v>
      </c>
      <c r="G6" s="201" t="s">
        <v>67</v>
      </c>
      <c r="H6" s="149" t="str">
        <f t="shared" si="2"/>
        <v>REDOVNA DJELATNOST SVEUČILIŠTA U ZAGREBU</v>
      </c>
      <c r="I6" s="198">
        <v>662691.35048435559</v>
      </c>
      <c r="J6" s="198">
        <v>677403.09846510831</v>
      </c>
      <c r="K6" s="198">
        <v>683635.20697098738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>LEFT(R6,2)</f>
        <v>31</v>
      </c>
      <c r="V6" s="144" t="str">
        <f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3212</v>
      </c>
      <c r="F7" s="149" t="str">
        <f t="shared" si="0"/>
        <v>Naknade za prijevoz, za rad na terenu i odvojeni život</v>
      </c>
      <c r="G7" s="201" t="s">
        <v>67</v>
      </c>
      <c r="H7" s="149" t="str">
        <f t="shared" si="2"/>
        <v>REDOVNA DJELATNOST SVEUČILIŠTA U ZAGREBU</v>
      </c>
      <c r="I7" s="198">
        <v>458680.99671954365</v>
      </c>
      <c r="J7" s="198">
        <v>468863.71484671754</v>
      </c>
      <c r="K7" s="198">
        <v>473177.26102330739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285</v>
      </c>
      <c r="R7" s="144">
        <v>3113</v>
      </c>
      <c r="S7" s="144" t="s">
        <v>145</v>
      </c>
      <c r="U7" s="144" t="str">
        <f>LEFT(R7,2)</f>
        <v>31</v>
      </c>
      <c r="V7" s="144" t="str">
        <f>LEFT(R7,3)</f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3213</v>
      </c>
      <c r="F8" s="149" t="str">
        <f t="shared" si="0"/>
        <v>Stručno usavršavanje zaposlenika</v>
      </c>
      <c r="G8" s="201" t="s">
        <v>67</v>
      </c>
      <c r="H8" s="149" t="str">
        <f t="shared" si="2"/>
        <v>REDOVNA DJELATNOST SVEUČILIŠTA U ZAGREBU</v>
      </c>
      <c r="I8" s="198">
        <v>115337.73271988824</v>
      </c>
      <c r="J8" s="198">
        <v>117898.23038626976</v>
      </c>
      <c r="K8" s="198">
        <v>118982.89410582345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>LEFT(R8,2)</f>
        <v>31</v>
      </c>
      <c r="V8" s="144" t="str">
        <f>LEFT(R8,3)</f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3214</v>
      </c>
      <c r="F9" s="149" t="str">
        <f t="shared" si="0"/>
        <v>Ostale naknade troškova zaposlenima</v>
      </c>
      <c r="G9" s="201" t="s">
        <v>67</v>
      </c>
      <c r="H9" s="149" t="str">
        <f t="shared" si="2"/>
        <v>REDOVNA DJELATNOST SVEUČILIŠTA U ZAGREBU</v>
      </c>
      <c r="I9" s="198">
        <v>10839.476290635983</v>
      </c>
      <c r="J9" s="198">
        <v>11080.112664288101</v>
      </c>
      <c r="K9" s="198">
        <v>11182.049700799553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>LEFT(R9,2)</f>
        <v>31</v>
      </c>
      <c r="V9" s="144" t="str">
        <f>LEFT(R9,3)</f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3221</v>
      </c>
      <c r="F10" s="149" t="str">
        <f t="shared" si="0"/>
        <v>Uredski materijal i ostali materijalni rashodi</v>
      </c>
      <c r="G10" s="201" t="s">
        <v>67</v>
      </c>
      <c r="H10" s="149" t="str">
        <f t="shared" si="2"/>
        <v>REDOVNA DJELATNOST SVEUČILIŠTA U ZAGREBU</v>
      </c>
      <c r="I10" s="198">
        <v>58675.796657468985</v>
      </c>
      <c r="J10" s="198">
        <v>59978.399343264799</v>
      </c>
      <c r="K10" s="198">
        <v>60530.200617222843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5">LEFT(R10,2)</f>
        <v>31</v>
      </c>
      <c r="V10" s="212" t="str">
        <f t="shared" ref="V10:V41" si="6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3222</v>
      </c>
      <c r="F11" s="149" t="str">
        <f t="shared" si="0"/>
        <v>Materijal i sirovine</v>
      </c>
      <c r="G11" s="201" t="s">
        <v>67</v>
      </c>
      <c r="H11" s="149" t="str">
        <f t="shared" si="2"/>
        <v>REDOVNA DJELATNOST SVEUČILIŠTA U ZAGREBU</v>
      </c>
      <c r="I11" s="198">
        <v>144226.07803193742</v>
      </c>
      <c r="J11" s="198">
        <v>147427.89696424644</v>
      </c>
      <c r="K11" s="198">
        <v>148784.23361631751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5"/>
        <v>32</v>
      </c>
      <c r="V11" s="144" t="str">
        <f t="shared" si="6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3223</v>
      </c>
      <c r="F12" s="149" t="str">
        <f t="shared" si="0"/>
        <v>Energija</v>
      </c>
      <c r="G12" s="201" t="s">
        <v>67</v>
      </c>
      <c r="H12" s="149" t="str">
        <f t="shared" si="2"/>
        <v>REDOVNA DJELATNOST SVEUČILIŠTA U ZAGREBU</v>
      </c>
      <c r="I12" s="198">
        <v>673987.22577670263</v>
      </c>
      <c r="J12" s="198">
        <v>688949.74218894541</v>
      </c>
      <c r="K12" s="198">
        <v>695288.07981708378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5"/>
        <v>32</v>
      </c>
      <c r="V12" s="144" t="str">
        <f t="shared" si="6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3224</v>
      </c>
      <c r="F13" s="149" t="str">
        <f t="shared" si="0"/>
        <v>Materijal i dijelovi za tekuće i investicijsko održavanje</v>
      </c>
      <c r="G13" s="201" t="s">
        <v>67</v>
      </c>
      <c r="H13" s="149" t="str">
        <f t="shared" si="2"/>
        <v>REDOVNA DJELATNOST SVEUČILIŠTA U ZAGREBU</v>
      </c>
      <c r="I13" s="198">
        <v>74450.087154105029</v>
      </c>
      <c r="J13" s="198">
        <v>76102.879088926158</v>
      </c>
      <c r="K13" s="198">
        <v>76803.025576544285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5"/>
        <v>32</v>
      </c>
      <c r="V13" s="144" t="str">
        <f t="shared" si="6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3225</v>
      </c>
      <c r="F14" s="149" t="str">
        <f t="shared" si="0"/>
        <v>Sitni inventar i auto gume</v>
      </c>
      <c r="G14" s="201" t="s">
        <v>67</v>
      </c>
      <c r="H14" s="149" t="str">
        <f t="shared" si="2"/>
        <v>REDOVNA DJELATNOST SVEUČILIŠTA U ZAGREBU</v>
      </c>
      <c r="I14" s="198">
        <v>58019.723092509441</v>
      </c>
      <c r="J14" s="198">
        <v>59307.760945163151</v>
      </c>
      <c r="K14" s="198">
        <v>59853.392345858658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5"/>
        <v>32</v>
      </c>
      <c r="V14" s="144" t="str">
        <f t="shared" si="6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3227</v>
      </c>
      <c r="F15" s="149" t="str">
        <f t="shared" si="0"/>
        <v>Službena, radna i zaštitna odjeća i obuća</v>
      </c>
      <c r="G15" s="201" t="s">
        <v>67</v>
      </c>
      <c r="H15" s="149" t="str">
        <f t="shared" si="2"/>
        <v>REDOVNA DJELATNOST SVEUČILIŠTA U ZAGREBU</v>
      </c>
      <c r="I15" s="198">
        <v>5990.2368974567271</v>
      </c>
      <c r="J15" s="198">
        <v>6123.2201565802661</v>
      </c>
      <c r="K15" s="198">
        <v>6179.5537820208056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5"/>
        <v>32</v>
      </c>
      <c r="V15" s="144" t="str">
        <f t="shared" si="6"/>
        <v>322</v>
      </c>
      <c r="X15" s="144" t="s">
        <v>861</v>
      </c>
      <c r="Y15" s="144" t="s">
        <v>862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3231</v>
      </c>
      <c r="F16" s="149" t="str">
        <f t="shared" si="0"/>
        <v>Usluge telefona, pošte i prijevoza</v>
      </c>
      <c r="G16" s="201" t="s">
        <v>67</v>
      </c>
      <c r="H16" s="149" t="str">
        <f t="shared" si="2"/>
        <v>REDOVNA DJELATNOST SVEUČILIŠTA U ZAGREBU</v>
      </c>
      <c r="I16" s="198">
        <v>108451.8127815737</v>
      </c>
      <c r="J16" s="198">
        <v>110859.44302532462</v>
      </c>
      <c r="K16" s="198">
        <v>111879.34990115762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5"/>
        <v>32</v>
      </c>
      <c r="V16" s="144" t="str">
        <f t="shared" si="6"/>
        <v>322</v>
      </c>
      <c r="X16" s="144" t="s">
        <v>863</v>
      </c>
      <c r="Y16" s="144" t="s">
        <v>864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3232</v>
      </c>
      <c r="F17" s="149" t="str">
        <f t="shared" si="0"/>
        <v>Usluge tekućeg i investicijskog održavanja</v>
      </c>
      <c r="G17" s="201" t="s">
        <v>67</v>
      </c>
      <c r="H17" s="149" t="str">
        <f t="shared" si="2"/>
        <v>REDOVNA DJELATNOST SVEUČILIŠTA U ZAGREBU</v>
      </c>
      <c r="I17" s="198">
        <v>324899.03934301011</v>
      </c>
      <c r="J17" s="198">
        <v>332111.79801642493</v>
      </c>
      <c r="K17" s="198">
        <v>335167.22655817604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5"/>
        <v>32</v>
      </c>
      <c r="V17" s="144" t="str">
        <f t="shared" si="6"/>
        <v>322</v>
      </c>
      <c r="X17" s="144" t="s">
        <v>865</v>
      </c>
      <c r="Y17" s="144" t="s">
        <v>866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3233</v>
      </c>
      <c r="F18" s="149" t="str">
        <f t="shared" si="0"/>
        <v>Usluge promidžbe i informiranja</v>
      </c>
      <c r="G18" s="201" t="s">
        <v>67</v>
      </c>
      <c r="H18" s="149" t="str">
        <f t="shared" si="2"/>
        <v>REDOVNA DJELATNOST SVEUČILIŠTA U ZAGREBU</v>
      </c>
      <c r="I18" s="198">
        <v>65150.957494243637</v>
      </c>
      <c r="J18" s="198">
        <v>66597.308750615848</v>
      </c>
      <c r="K18" s="198">
        <v>67210.003991121514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5"/>
        <v>32</v>
      </c>
      <c r="V18" s="144" t="str">
        <f t="shared" si="6"/>
        <v>322</v>
      </c>
      <c r="X18" s="144" t="s">
        <v>867</v>
      </c>
      <c r="Y18" s="144" t="s">
        <v>868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3234</v>
      </c>
      <c r="F19" s="149" t="str">
        <f t="shared" si="0"/>
        <v>Komunalne usluge</v>
      </c>
      <c r="G19" s="201" t="s">
        <v>67</v>
      </c>
      <c r="H19" s="149" t="str">
        <f t="shared" si="2"/>
        <v>REDOVNA DJELATNOST SVEUČILIŠTA U ZAGREBU</v>
      </c>
      <c r="I19" s="198">
        <v>404426.5653911499</v>
      </c>
      <c r="J19" s="198">
        <v>413404.83514283341</v>
      </c>
      <c r="K19" s="198">
        <v>417208.15962614754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5"/>
        <v>32</v>
      </c>
      <c r="V19" s="144" t="str">
        <f t="shared" si="6"/>
        <v>322</v>
      </c>
      <c r="X19" s="144" t="s">
        <v>869</v>
      </c>
      <c r="Y19" s="144" t="s">
        <v>870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3235</v>
      </c>
      <c r="F20" s="149" t="str">
        <f t="shared" si="0"/>
        <v>Zakupnine i najamnine</v>
      </c>
      <c r="G20" s="201" t="s">
        <v>67</v>
      </c>
      <c r="H20" s="149" t="str">
        <f t="shared" si="2"/>
        <v>REDOVNA DJELATNOST SVEUČILIŠTA U ZAGREBU</v>
      </c>
      <c r="I20" s="198">
        <v>95843.790359307633</v>
      </c>
      <c r="J20" s="198">
        <v>97971.522505284258</v>
      </c>
      <c r="K20" s="198">
        <v>98872.860512332889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5"/>
        <v>32</v>
      </c>
      <c r="V20" s="144" t="str">
        <f t="shared" si="6"/>
        <v>322</v>
      </c>
      <c r="X20" s="144" t="s">
        <v>871</v>
      </c>
      <c r="Y20" s="144" t="s">
        <v>872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3236</v>
      </c>
      <c r="F21" s="149" t="str">
        <f t="shared" si="0"/>
        <v>Zdravstvene i veterinarske usluge</v>
      </c>
      <c r="G21" s="201" t="s">
        <v>67</v>
      </c>
      <c r="H21" s="149" t="str">
        <f t="shared" si="2"/>
        <v>REDOVNA DJELATNOST SVEUČILIŠTA U ZAGREBU</v>
      </c>
      <c r="I21" s="198">
        <v>115240.74793202465</v>
      </c>
      <c r="J21" s="198">
        <v>117799.0925361156</v>
      </c>
      <c r="K21" s="198">
        <v>118882.84418744787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5"/>
        <v>32</v>
      </c>
      <c r="V21" s="144" t="str">
        <f t="shared" si="6"/>
        <v>322</v>
      </c>
      <c r="X21" s="144" t="s">
        <v>111</v>
      </c>
      <c r="Y21" s="144" t="s">
        <v>873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3237</v>
      </c>
      <c r="F22" s="149" t="str">
        <f t="shared" si="0"/>
        <v>Intelektualne i osobne usluge</v>
      </c>
      <c r="G22" s="201" t="s">
        <v>67</v>
      </c>
      <c r="H22" s="149" t="str">
        <f t="shared" si="2"/>
        <v>REDOVNA DJELATNOST SVEUČILIŠTA U ZAGREBU</v>
      </c>
      <c r="I22" s="198">
        <v>268904.58682059316</v>
      </c>
      <c r="J22" s="198">
        <v>274874.26864801033</v>
      </c>
      <c r="K22" s="198">
        <v>277403.11191957205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5"/>
        <v>32</v>
      </c>
      <c r="V22" s="144" t="str">
        <f t="shared" si="6"/>
        <v>323</v>
      </c>
      <c r="X22" s="144" t="s">
        <v>136</v>
      </c>
      <c r="Y22" s="144" t="s">
        <v>874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3238</v>
      </c>
      <c r="F23" s="149" t="str">
        <f t="shared" si="0"/>
        <v>Računalne usluge</v>
      </c>
      <c r="G23" s="201" t="s">
        <v>67</v>
      </c>
      <c r="H23" s="149" t="str">
        <f t="shared" si="2"/>
        <v>REDOVNA DJELATNOST SVEUČILIŠTA U ZAGREBU</v>
      </c>
      <c r="I23" s="198">
        <v>126565.14816197856</v>
      </c>
      <c r="J23" s="198">
        <v>129374.89445117449</v>
      </c>
      <c r="K23" s="198">
        <v>130565.14348012531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5"/>
        <v>32</v>
      </c>
      <c r="V23" s="144" t="str">
        <f t="shared" si="6"/>
        <v>323</v>
      </c>
      <c r="X23" s="144" t="s">
        <v>142</v>
      </c>
      <c r="Y23" s="144" t="s">
        <v>875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3239</v>
      </c>
      <c r="F24" s="149" t="str">
        <f t="shared" si="0"/>
        <v>Ostale usluge</v>
      </c>
      <c r="G24" s="201" t="s">
        <v>67</v>
      </c>
      <c r="H24" s="149" t="str">
        <f t="shared" si="2"/>
        <v>REDOVNA DJELATNOST SVEUČILIŠTA U ZAGREBU</v>
      </c>
      <c r="I24" s="198">
        <v>288273.01945570327</v>
      </c>
      <c r="J24" s="198">
        <v>294672.68048761989</v>
      </c>
      <c r="K24" s="198">
        <v>297383.66914810601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5"/>
        <v>32</v>
      </c>
      <c r="V24" s="144" t="str">
        <f t="shared" si="6"/>
        <v>323</v>
      </c>
      <c r="X24" s="144" t="s">
        <v>144</v>
      </c>
      <c r="Y24" s="144" t="s">
        <v>876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3241</v>
      </c>
      <c r="F25" s="149" t="str">
        <f t="shared" si="0"/>
        <v>Naknade troškova osobama izvan radnog odnosa</v>
      </c>
      <c r="G25" s="201" t="s">
        <v>67</v>
      </c>
      <c r="H25" s="149" t="str">
        <f t="shared" si="2"/>
        <v>REDOVNA DJELATNOST SVEUČILIŠTA U ZAGREBU</v>
      </c>
      <c r="I25" s="198">
        <v>14034.269302612904</v>
      </c>
      <c r="J25" s="198">
        <v>14345.830081130911</v>
      </c>
      <c r="K25" s="198">
        <v>14477.811717877317</v>
      </c>
      <c r="M25" s="144" t="str">
        <f t="shared" si="3"/>
        <v>324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5"/>
        <v>32</v>
      </c>
      <c r="V25" s="144" t="str">
        <f t="shared" si="6"/>
        <v>323</v>
      </c>
      <c r="X25" s="144" t="s">
        <v>150</v>
      </c>
      <c r="Y25" s="144" t="s">
        <v>877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3292</v>
      </c>
      <c r="F26" s="149" t="str">
        <f t="shared" si="0"/>
        <v>Premije osiguranja</v>
      </c>
      <c r="G26" s="201" t="s">
        <v>67</v>
      </c>
      <c r="H26" s="149" t="str">
        <f t="shared" si="2"/>
        <v>REDOVNA DJELATNOST SVEUČILIŠTA U ZAGREBU</v>
      </c>
      <c r="I26" s="198">
        <v>41361.15953005835</v>
      </c>
      <c r="J26" s="198">
        <v>42279.377271625643</v>
      </c>
      <c r="K26" s="198">
        <v>42668.3475425246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5"/>
        <v>32</v>
      </c>
      <c r="V26" s="144" t="str">
        <f t="shared" si="6"/>
        <v>323</v>
      </c>
      <c r="X26" s="144" t="s">
        <v>152</v>
      </c>
      <c r="Y26" s="144" t="s">
        <v>878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3293</v>
      </c>
      <c r="F27" s="149" t="str">
        <f t="shared" si="0"/>
        <v>Reprezentacija</v>
      </c>
      <c r="G27" s="201" t="s">
        <v>67</v>
      </c>
      <c r="H27" s="149" t="str">
        <f t="shared" si="2"/>
        <v>REDOVNA DJELATNOST SVEUČILIŠTA U ZAGREBU</v>
      </c>
      <c r="I27" s="198">
        <v>137062.32520133129</v>
      </c>
      <c r="J27" s="198">
        <v>140105.10882080084</v>
      </c>
      <c r="K27" s="198">
        <v>141394.07582195222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5"/>
        <v>32</v>
      </c>
      <c r="V27" s="144" t="str">
        <f t="shared" si="6"/>
        <v>323</v>
      </c>
      <c r="X27" s="144" t="s">
        <v>154</v>
      </c>
      <c r="Y27" s="144" t="s">
        <v>879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3294</v>
      </c>
      <c r="F28" s="149" t="str">
        <f t="shared" si="0"/>
        <v>Članarine i norme</v>
      </c>
      <c r="G28" s="201" t="s">
        <v>67</v>
      </c>
      <c r="H28" s="149" t="str">
        <f t="shared" si="2"/>
        <v>REDOVNA DJELATNOST SVEUČILIŠTA U ZAGREBU</v>
      </c>
      <c r="I28" s="198">
        <v>11609.649606023277</v>
      </c>
      <c r="J28" s="198">
        <v>11867.383827276994</v>
      </c>
      <c r="K28" s="198">
        <v>11976.563758487942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5"/>
        <v>32</v>
      </c>
      <c r="V28" s="144" t="str">
        <f t="shared" si="6"/>
        <v>323</v>
      </c>
      <c r="X28" s="144" t="s">
        <v>158</v>
      </c>
      <c r="Y28" s="144" t="s">
        <v>880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3295</v>
      </c>
      <c r="F29" s="149" t="str">
        <f t="shared" si="0"/>
        <v>Pristojbe i naknade</v>
      </c>
      <c r="G29" s="201" t="s">
        <v>67</v>
      </c>
      <c r="H29" s="149" t="str">
        <f t="shared" si="2"/>
        <v>REDOVNA DJELATNOST SVEUČILIŠTA U ZAGREBU</v>
      </c>
      <c r="I29" s="198">
        <v>65721.456246382382</v>
      </c>
      <c r="J29" s="198">
        <v>67180.472575052074</v>
      </c>
      <c r="K29" s="198">
        <v>67798.532922742554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5"/>
        <v>32</v>
      </c>
      <c r="V29" s="144" t="str">
        <f t="shared" si="6"/>
        <v>323</v>
      </c>
      <c r="X29" s="144" t="s">
        <v>164</v>
      </c>
      <c r="Y29" s="144" t="s">
        <v>881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3296</v>
      </c>
      <c r="F30" s="149" t="str">
        <f t="shared" si="0"/>
        <v>Troškovi sudskih postupaka</v>
      </c>
      <c r="G30" s="201" t="s">
        <v>67</v>
      </c>
      <c r="H30" s="149" t="str">
        <f t="shared" si="2"/>
        <v>REDOVNA DJELATNOST SVEUČILIŠTA U ZAGREBU</v>
      </c>
      <c r="I30" s="198">
        <v>17114.962564162077</v>
      </c>
      <c r="J30" s="198">
        <v>17494.914733086476</v>
      </c>
      <c r="K30" s="198">
        <v>17655.867948630872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5"/>
        <v>32</v>
      </c>
      <c r="V30" s="144" t="str">
        <f t="shared" si="6"/>
        <v>323</v>
      </c>
      <c r="X30" s="144" t="s">
        <v>882</v>
      </c>
      <c r="Y30" s="144" t="s">
        <v>883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3299</v>
      </c>
      <c r="F31" s="149" t="str">
        <f t="shared" si="0"/>
        <v>Ostali nespomenuti rashodi poslovanja</v>
      </c>
      <c r="G31" s="201" t="s">
        <v>67</v>
      </c>
      <c r="H31" s="149" t="str">
        <f t="shared" si="2"/>
        <v>REDOVNA DJELATNOST SVEUČILIŠTA U ZAGREBU</v>
      </c>
      <c r="I31" s="198">
        <v>60586.967477133752</v>
      </c>
      <c r="J31" s="198">
        <v>61931.998155126123</v>
      </c>
      <c r="K31" s="198">
        <v>62501.772538153287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5"/>
        <v>32</v>
      </c>
      <c r="V31" s="144" t="str">
        <f t="shared" si="6"/>
        <v>324</v>
      </c>
      <c r="X31" s="144" t="s">
        <v>165</v>
      </c>
      <c r="Y31" s="144" t="s">
        <v>884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3431</v>
      </c>
      <c r="F32" s="149" t="str">
        <f t="shared" si="0"/>
        <v>Bankarske usluge i usluge platnog prometa</v>
      </c>
      <c r="G32" s="201" t="s">
        <v>67</v>
      </c>
      <c r="H32" s="149" t="str">
        <f t="shared" si="2"/>
        <v>REDOVNA DJELATNOST SVEUČILIŠTA U ZAGREBU</v>
      </c>
      <c r="I32" s="198">
        <v>24702.595967607263</v>
      </c>
      <c r="J32" s="198">
        <v>25250.993598088146</v>
      </c>
      <c r="K32" s="198">
        <v>25483.30273919056</v>
      </c>
      <c r="M32" s="144" t="str">
        <f t="shared" si="3"/>
        <v>343</v>
      </c>
      <c r="N32" s="144" t="str">
        <f t="shared" si="4"/>
        <v>34</v>
      </c>
      <c r="R32" s="144">
        <v>3291</v>
      </c>
      <c r="S32" s="144" t="s">
        <v>100</v>
      </c>
      <c r="U32" s="144" t="str">
        <f t="shared" si="5"/>
        <v>32</v>
      </c>
      <c r="V32" s="144" t="str">
        <f t="shared" si="6"/>
        <v>329</v>
      </c>
      <c r="X32" s="144" t="s">
        <v>194</v>
      </c>
      <c r="Y32" s="144" t="s">
        <v>885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3721</v>
      </c>
      <c r="F33" s="149" t="str">
        <f t="shared" si="0"/>
        <v>Naknade građanima i kućanstvima u novcu</v>
      </c>
      <c r="G33" s="201" t="s">
        <v>67</v>
      </c>
      <c r="H33" s="149" t="str">
        <f t="shared" si="2"/>
        <v>REDOVNA DJELATNOST SVEUČILIŠTA U ZAGREBU</v>
      </c>
      <c r="I33" s="198">
        <v>2281.9950085549435</v>
      </c>
      <c r="J33" s="198">
        <v>2332.6552977448632</v>
      </c>
      <c r="K33" s="198">
        <v>2354.1157264841163</v>
      </c>
      <c r="M33" s="144" t="str">
        <f t="shared" si="3"/>
        <v>372</v>
      </c>
      <c r="N33" s="144" t="str">
        <f t="shared" si="4"/>
        <v>37</v>
      </c>
      <c r="R33" s="144">
        <v>3292</v>
      </c>
      <c r="S33" s="144" t="s">
        <v>93</v>
      </c>
      <c r="U33" s="144" t="str">
        <f t="shared" si="5"/>
        <v>32</v>
      </c>
      <c r="V33" s="144" t="str">
        <f t="shared" si="6"/>
        <v>329</v>
      </c>
      <c r="X33" s="144" t="s">
        <v>197</v>
      </c>
      <c r="Y33" s="144" t="s">
        <v>886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3811</v>
      </c>
      <c r="F34" s="149" t="str">
        <f t="shared" si="0"/>
        <v>Tekuće donacije u novcu</v>
      </c>
      <c r="G34" s="201" t="s">
        <v>67</v>
      </c>
      <c r="H34" s="149" t="str">
        <f t="shared" si="2"/>
        <v>REDOVNA DJELATNOST SVEUČILIŠTA U ZAGREBU</v>
      </c>
      <c r="I34" s="198">
        <v>9127.9800342197741</v>
      </c>
      <c r="J34" s="198">
        <v>9330.6211909794529</v>
      </c>
      <c r="K34" s="198">
        <v>9416.4629059364652</v>
      </c>
      <c r="M34" s="144" t="str">
        <f t="shared" si="3"/>
        <v>381</v>
      </c>
      <c r="N34" s="144" t="str">
        <f t="shared" si="4"/>
        <v>38</v>
      </c>
      <c r="R34" s="144">
        <v>3293</v>
      </c>
      <c r="S34" s="144" t="s">
        <v>103</v>
      </c>
      <c r="U34" s="144" t="str">
        <f t="shared" si="5"/>
        <v>32</v>
      </c>
      <c r="V34" s="144" t="str">
        <f t="shared" si="6"/>
        <v>329</v>
      </c>
      <c r="X34" s="144" t="s">
        <v>200</v>
      </c>
      <c r="Y34" s="144" t="s">
        <v>887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4224</v>
      </c>
      <c r="F35" s="149" t="str">
        <f t="shared" si="0"/>
        <v>Medicinska i laboratorijska oprema</v>
      </c>
      <c r="G35" s="201" t="s">
        <v>67</v>
      </c>
      <c r="H35" s="149" t="str">
        <f t="shared" si="2"/>
        <v>REDOVNA DJELATNOST SVEUČILIŠTA U ZAGREBU</v>
      </c>
      <c r="I35" s="198">
        <v>520351.911825741</v>
      </c>
      <c r="J35" s="198">
        <v>531903.7242682724</v>
      </c>
      <c r="K35" s="198">
        <v>536797.23853154061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5"/>
        <v>32</v>
      </c>
      <c r="V35" s="144" t="str">
        <f t="shared" si="6"/>
        <v>329</v>
      </c>
      <c r="X35" s="144" t="s">
        <v>204</v>
      </c>
      <c r="Y35" s="144" t="s">
        <v>888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4241</v>
      </c>
      <c r="F36" s="149" t="str">
        <f t="shared" si="0"/>
        <v>Knjige</v>
      </c>
      <c r="G36" s="201" t="s">
        <v>67</v>
      </c>
      <c r="H36" s="149" t="str">
        <f t="shared" si="2"/>
        <v>REDOVNA DJELATNOST SVEUČILIŠTA U ZAGREBU</v>
      </c>
      <c r="I36" s="198">
        <v>5819.0872718151059</v>
      </c>
      <c r="J36" s="198">
        <v>5948.2710092494008</v>
      </c>
      <c r="K36" s="198">
        <v>6002.9951025344963</v>
      </c>
      <c r="M36" s="144" t="str">
        <f t="shared" si="3"/>
        <v>424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5"/>
        <v>32</v>
      </c>
      <c r="V36" s="144" t="str">
        <f t="shared" si="6"/>
        <v>329</v>
      </c>
      <c r="X36" s="144" t="s">
        <v>205</v>
      </c>
      <c r="Y36" s="144" t="s">
        <v>889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4521</v>
      </c>
      <c r="F37" s="149" t="str">
        <f t="shared" si="0"/>
        <v>Dodatna ulaganja na postrojenjima i opremi</v>
      </c>
      <c r="G37" s="201" t="s">
        <v>67</v>
      </c>
      <c r="H37" s="149" t="str">
        <f t="shared" si="2"/>
        <v>REDOVNA DJELATNOST SVEUČILIŠTA U ZAGREBU</v>
      </c>
      <c r="I37" s="198">
        <v>17114.962564162077</v>
      </c>
      <c r="J37" s="198">
        <v>17494.914733086476</v>
      </c>
      <c r="K37" s="198">
        <v>17655.867948630872</v>
      </c>
      <c r="M37" s="144" t="str">
        <f t="shared" si="3"/>
        <v>452</v>
      </c>
      <c r="N37" s="144" t="str">
        <f t="shared" si="4"/>
        <v>45</v>
      </c>
      <c r="R37" s="144">
        <v>3295</v>
      </c>
      <c r="S37" s="144" t="s">
        <v>73</v>
      </c>
      <c r="U37" s="144" t="str">
        <f t="shared" si="5"/>
        <v>32</v>
      </c>
      <c r="V37" s="144" t="str">
        <f t="shared" si="6"/>
        <v>329</v>
      </c>
      <c r="X37" s="144" t="s">
        <v>207</v>
      </c>
      <c r="Y37" s="144" t="s">
        <v>890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31</v>
      </c>
      <c r="D38" s="149" t="str">
        <f t="shared" si="1"/>
        <v>Vlastiti prihodi</v>
      </c>
      <c r="E38" s="154">
        <v>3111</v>
      </c>
      <c r="F38" s="149" t="str">
        <f t="shared" si="0"/>
        <v>Plaće za redovan rad</v>
      </c>
      <c r="G38" s="201" t="s">
        <v>165</v>
      </c>
      <c r="H38" s="149" t="str">
        <f t="shared" si="2"/>
        <v>REDOVNA DJELATNOST SVEUČILIŠTA U ZAGREBU (IZ EVIDENCIJSKIH PRIHODA)</v>
      </c>
      <c r="I38" s="198">
        <v>3523300</v>
      </c>
      <c r="J38" s="198">
        <v>3601517.26</v>
      </c>
      <c r="K38" s="198">
        <v>3634651.2187920003</v>
      </c>
      <c r="M38" s="144" t="str">
        <f t="shared" si="3"/>
        <v>311</v>
      </c>
      <c r="N38" s="144" t="str">
        <f t="shared" si="4"/>
        <v>31</v>
      </c>
      <c r="R38" s="144">
        <v>3296</v>
      </c>
      <c r="S38" s="144" t="s">
        <v>168</v>
      </c>
      <c r="U38" s="144" t="str">
        <f t="shared" si="5"/>
        <v>32</v>
      </c>
      <c r="V38" s="144" t="str">
        <f t="shared" si="6"/>
        <v>329</v>
      </c>
      <c r="X38" s="144" t="s">
        <v>213</v>
      </c>
      <c r="Y38" s="144" t="s">
        <v>891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3121</v>
      </c>
      <c r="F39" s="149" t="str">
        <f t="shared" si="0"/>
        <v>Ostali rashodi za zaposlene</v>
      </c>
      <c r="G39" s="201" t="s">
        <v>165</v>
      </c>
      <c r="H39" s="149" t="str">
        <f t="shared" si="2"/>
        <v>REDOVNA DJELATNOST SVEUČILIŠTA U ZAGREBU (IZ EVIDENCIJSKIH PRIHODA)</v>
      </c>
      <c r="I39" s="198">
        <v>57100</v>
      </c>
      <c r="J39" s="198">
        <v>58367.62</v>
      </c>
      <c r="K39" s="198">
        <v>58904.602104000005</v>
      </c>
      <c r="M39" s="144" t="str">
        <f t="shared" si="3"/>
        <v>312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5"/>
        <v>32</v>
      </c>
      <c r="V39" s="144" t="str">
        <f t="shared" si="6"/>
        <v>329</v>
      </c>
      <c r="X39" s="144" t="s">
        <v>214</v>
      </c>
      <c r="Y39" s="144" t="s">
        <v>892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3132</v>
      </c>
      <c r="F40" s="149" t="str">
        <f t="shared" si="0"/>
        <v>Doprinosi za obvezno zdravstveno osiguranje</v>
      </c>
      <c r="G40" s="201" t="s">
        <v>165</v>
      </c>
      <c r="H40" s="149" t="str">
        <f t="shared" si="2"/>
        <v>REDOVNA DJELATNOST SVEUČILIŠTA U ZAGREBU (IZ EVIDENCIJSKIH PRIHODA)</v>
      </c>
      <c r="I40" s="198">
        <v>581300</v>
      </c>
      <c r="J40" s="198">
        <v>594204.86</v>
      </c>
      <c r="K40" s="198">
        <v>599671.54471200006</v>
      </c>
      <c r="M40" s="144" t="str">
        <f t="shared" si="3"/>
        <v>313</v>
      </c>
      <c r="N40" s="144" t="str">
        <f t="shared" si="4"/>
        <v>31</v>
      </c>
      <c r="R40" s="144">
        <v>3411</v>
      </c>
      <c r="S40" s="144" t="s">
        <v>206</v>
      </c>
      <c r="U40" s="144" t="str">
        <f t="shared" si="5"/>
        <v>34</v>
      </c>
      <c r="V40" s="144" t="str">
        <f t="shared" si="6"/>
        <v>341</v>
      </c>
      <c r="X40" s="144" t="s">
        <v>893</v>
      </c>
      <c r="Y40" s="144" t="s">
        <v>894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3211</v>
      </c>
      <c r="F41" s="149" t="str">
        <f t="shared" si="0"/>
        <v>Službena putovanja</v>
      </c>
      <c r="G41" s="201" t="s">
        <v>165</v>
      </c>
      <c r="H41" s="149" t="str">
        <f t="shared" si="2"/>
        <v>REDOVNA DJELATNOST SVEUČILIŠTA U ZAGREBU (IZ EVIDENCIJSKIH PRIHODA)</v>
      </c>
      <c r="I41" s="198">
        <v>181500</v>
      </c>
      <c r="J41" s="198">
        <v>185529.3</v>
      </c>
      <c r="K41" s="198">
        <v>187236.16956000001</v>
      </c>
      <c r="M41" s="144" t="str">
        <f t="shared" si="3"/>
        <v>321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5"/>
        <v>34</v>
      </c>
      <c r="V41" s="144" t="str">
        <f t="shared" si="6"/>
        <v>342</v>
      </c>
      <c r="X41" s="144" t="s">
        <v>286</v>
      </c>
      <c r="Y41" s="144" t="s">
        <v>895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3212</v>
      </c>
      <c r="F42" s="149" t="str">
        <f t="shared" si="0"/>
        <v>Naknade za prijevoz, za rad na terenu i odvojeni život</v>
      </c>
      <c r="G42" s="201" t="s">
        <v>165</v>
      </c>
      <c r="H42" s="149" t="str">
        <f t="shared" si="2"/>
        <v>REDOVNA DJELATNOST SVEUČILIŠTA U ZAGREBU (IZ EVIDENCIJSKIH PRIHODA)</v>
      </c>
      <c r="I42" s="198">
        <v>99500</v>
      </c>
      <c r="J42" s="198">
        <v>101708.9</v>
      </c>
      <c r="K42" s="198">
        <v>102644.62188000001</v>
      </c>
      <c r="M42" s="144" t="str">
        <f t="shared" si="3"/>
        <v>321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7">LEFT(R42,2)</f>
        <v>34</v>
      </c>
      <c r="V42" s="144" t="str">
        <f t="shared" ref="V42:V73" si="8">LEFT(R42,3)</f>
        <v>342</v>
      </c>
      <c r="X42" s="144" t="s">
        <v>896</v>
      </c>
      <c r="Y42" s="144" t="s">
        <v>897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3213</v>
      </c>
      <c r="F43" s="149" t="str">
        <f t="shared" si="0"/>
        <v>Stručno usavršavanje zaposlenika</v>
      </c>
      <c r="G43" s="201" t="s">
        <v>165</v>
      </c>
      <c r="H43" s="149" t="str">
        <f t="shared" si="2"/>
        <v>REDOVNA DJELATNOST SVEUČILIŠTA U ZAGREBU (IZ EVIDENCIJSKIH PRIHODA)</v>
      </c>
      <c r="I43" s="198">
        <v>63900</v>
      </c>
      <c r="J43" s="198">
        <v>65318</v>
      </c>
      <c r="K43" s="198">
        <v>65919.510936000006</v>
      </c>
      <c r="M43" s="144" t="str">
        <f t="shared" si="3"/>
        <v>321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7"/>
        <v>34</v>
      </c>
      <c r="V43" s="144" t="str">
        <f t="shared" si="8"/>
        <v>342</v>
      </c>
      <c r="X43" s="144" t="s">
        <v>898</v>
      </c>
      <c r="Y43" s="144" t="s">
        <v>899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"/>
        <v>Vlastiti prihodi</v>
      </c>
      <c r="E44" s="154">
        <v>3214</v>
      </c>
      <c r="F44" s="149" t="str">
        <f t="shared" si="0"/>
        <v>Ostale naknade troškova zaposlenima</v>
      </c>
      <c r="G44" s="201" t="s">
        <v>165</v>
      </c>
      <c r="H44" s="149" t="str">
        <f t="shared" si="2"/>
        <v>REDOVNA DJELATNOST SVEUČILIŠTA U ZAGREBU (IZ EVIDENCIJSKIH PRIHODA)</v>
      </c>
      <c r="I44" s="198">
        <v>3000</v>
      </c>
      <c r="J44" s="198">
        <v>3066.6</v>
      </c>
      <c r="K44" s="198">
        <v>3094.8127200000004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7"/>
        <v>34</v>
      </c>
      <c r="V44" s="144" t="str">
        <f t="shared" si="8"/>
        <v>343</v>
      </c>
      <c r="X44" s="144" t="s">
        <v>900</v>
      </c>
      <c r="Y44" s="144" t="s">
        <v>901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3221</v>
      </c>
      <c r="F45" s="149" t="str">
        <f t="shared" si="0"/>
        <v>Uredski materijal i ostali materijalni rashodi</v>
      </c>
      <c r="G45" s="201" t="s">
        <v>165</v>
      </c>
      <c r="H45" s="149" t="str">
        <f t="shared" si="2"/>
        <v>REDOVNA DJELATNOST SVEUČILIŠTA U ZAGREBU (IZ EVIDENCIJSKIH PRIHODA)</v>
      </c>
      <c r="I45" s="198">
        <v>126700</v>
      </c>
      <c r="J45" s="198">
        <v>117103</v>
      </c>
      <c r="K45" s="198">
        <v>118180.34760000001</v>
      </c>
      <c r="M45" s="144" t="str">
        <f t="shared" si="3"/>
        <v>322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7"/>
        <v>34</v>
      </c>
      <c r="V45" s="144" t="str">
        <f t="shared" si="8"/>
        <v>343</v>
      </c>
      <c r="X45" s="144" t="s">
        <v>902</v>
      </c>
      <c r="Y45" s="144" t="s">
        <v>903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3222</v>
      </c>
      <c r="F46" s="149" t="str">
        <f t="shared" si="0"/>
        <v>Materijal i sirovine</v>
      </c>
      <c r="G46" s="201" t="s">
        <v>165</v>
      </c>
      <c r="H46" s="149" t="str">
        <f t="shared" si="2"/>
        <v>REDOVNA DJELATNOST SVEUČILIŠTA U ZAGREBU (IZ EVIDENCIJSKIH PRIHODA)</v>
      </c>
      <c r="I46" s="198">
        <v>669850</v>
      </c>
      <c r="J46" s="198">
        <v>684720.67</v>
      </c>
      <c r="K46" s="198">
        <v>691020.10016400006</v>
      </c>
      <c r="M46" s="144" t="str">
        <f t="shared" si="3"/>
        <v>322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7"/>
        <v>34</v>
      </c>
      <c r="V46" s="144" t="str">
        <f t="shared" si="8"/>
        <v>343</v>
      </c>
      <c r="X46" s="144" t="s">
        <v>904</v>
      </c>
      <c r="Y46" s="144" t="s">
        <v>905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3223</v>
      </c>
      <c r="F47" s="149" t="str">
        <f t="shared" si="0"/>
        <v>Energija</v>
      </c>
      <c r="G47" s="201" t="s">
        <v>165</v>
      </c>
      <c r="H47" s="149" t="str">
        <f t="shared" si="2"/>
        <v>REDOVNA DJELATNOST SVEUČILIŠTA U ZAGREBU (IZ EVIDENCIJSKIH PRIHODA)</v>
      </c>
      <c r="I47" s="198">
        <v>214500</v>
      </c>
      <c r="J47" s="198">
        <v>219261.9</v>
      </c>
      <c r="K47" s="198">
        <v>221279.10948000001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7"/>
        <v>34</v>
      </c>
      <c r="V47" s="144" t="str">
        <f t="shared" si="8"/>
        <v>343</v>
      </c>
      <c r="X47" s="144" t="s">
        <v>906</v>
      </c>
      <c r="Y47" s="144" t="s">
        <v>907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3224</v>
      </c>
      <c r="F48" s="149" t="str">
        <f t="shared" si="0"/>
        <v>Materijal i dijelovi za tekuće i investicijsko održavanje</v>
      </c>
      <c r="G48" s="201" t="s">
        <v>165</v>
      </c>
      <c r="H48" s="149" t="str">
        <f t="shared" si="2"/>
        <v>REDOVNA DJELATNOST SVEUČILIŠTA U ZAGREBU (IZ EVIDENCIJSKIH PRIHODA)</v>
      </c>
      <c r="I48" s="198">
        <v>78900</v>
      </c>
      <c r="J48" s="198">
        <v>80252</v>
      </c>
      <c r="K48" s="198">
        <v>80990.318400000004</v>
      </c>
      <c r="M48" s="144" t="str">
        <f t="shared" si="3"/>
        <v>322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7"/>
        <v>35</v>
      </c>
      <c r="V48" s="144" t="str">
        <f t="shared" si="8"/>
        <v>351</v>
      </c>
      <c r="X48" s="144" t="s">
        <v>908</v>
      </c>
      <c r="Y48" s="144" t="s">
        <v>909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3225</v>
      </c>
      <c r="F49" s="149" t="str">
        <f t="shared" si="0"/>
        <v>Sitni inventar i auto gume</v>
      </c>
      <c r="G49" s="201" t="s">
        <v>165</v>
      </c>
      <c r="H49" s="149" t="str">
        <f t="shared" si="2"/>
        <v>REDOVNA DJELATNOST SVEUČILIŠTA U ZAGREBU (IZ EVIDENCIJSKIH PRIHODA)</v>
      </c>
      <c r="I49" s="198">
        <v>131450</v>
      </c>
      <c r="J49" s="198">
        <v>134368.19</v>
      </c>
      <c r="K49" s="198">
        <v>135604.37734800001</v>
      </c>
      <c r="M49" s="144" t="str">
        <f t="shared" si="3"/>
        <v>322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7"/>
        <v>35</v>
      </c>
      <c r="V49" s="144" t="str">
        <f t="shared" si="8"/>
        <v>351</v>
      </c>
      <c r="X49" s="144" t="s">
        <v>910</v>
      </c>
      <c r="Y49" s="144" t="s">
        <v>911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3227</v>
      </c>
      <c r="F50" s="149" t="str">
        <f t="shared" si="0"/>
        <v>Službena, radna i zaštitna odjeća i obuća</v>
      </c>
      <c r="G50" s="201" t="s">
        <v>165</v>
      </c>
      <c r="H50" s="149" t="str">
        <f t="shared" si="2"/>
        <v>REDOVNA DJELATNOST SVEUČILIŠTA U ZAGREBU (IZ EVIDENCIJSKIH PRIHODA)</v>
      </c>
      <c r="I50" s="198">
        <v>16000</v>
      </c>
      <c r="J50" s="198">
        <v>16355.2</v>
      </c>
      <c r="K50" s="198">
        <v>16505.667840000002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287</v>
      </c>
      <c r="U50" s="144" t="str">
        <f t="shared" si="7"/>
        <v>35</v>
      </c>
      <c r="V50" s="144" t="str">
        <f t="shared" si="8"/>
        <v>352</v>
      </c>
      <c r="X50" s="144" t="s">
        <v>912</v>
      </c>
      <c r="Y50" s="144" t="s">
        <v>895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3231</v>
      </c>
      <c r="F51" s="149" t="str">
        <f t="shared" si="0"/>
        <v>Usluge telefona, pošte i prijevoza</v>
      </c>
      <c r="G51" s="201" t="s">
        <v>165</v>
      </c>
      <c r="H51" s="149" t="str">
        <f t="shared" si="2"/>
        <v>REDOVNA DJELATNOST SVEUČILIŠTA U ZAGREBU (IZ EVIDENCIJSKIH PRIHODA)</v>
      </c>
      <c r="I51" s="198">
        <v>89200</v>
      </c>
      <c r="J51" s="198">
        <v>91180.24</v>
      </c>
      <c r="K51" s="198">
        <v>92019.09820800001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7"/>
        <v>35</v>
      </c>
      <c r="V51" s="144" t="str">
        <f t="shared" si="8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3232</v>
      </c>
      <c r="F52" s="149" t="str">
        <f t="shared" si="0"/>
        <v>Usluge tekućeg i investicijskog održavanja</v>
      </c>
      <c r="G52" s="201" t="s">
        <v>165</v>
      </c>
      <c r="H52" s="149" t="str">
        <f t="shared" si="2"/>
        <v>REDOVNA DJELATNOST SVEUČILIŠTA U ZAGREBU (IZ EVIDENCIJSKIH PRIHODA)</v>
      </c>
      <c r="I52" s="198">
        <v>403700</v>
      </c>
      <c r="J52" s="198">
        <v>412662.14</v>
      </c>
      <c r="K52" s="198">
        <v>416458.63168800005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7"/>
        <v>36</v>
      </c>
      <c r="V52" s="144" t="str">
        <f t="shared" si="8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3233</v>
      </c>
      <c r="F53" s="149" t="str">
        <f t="shared" si="0"/>
        <v>Usluge promidžbe i informiranja</v>
      </c>
      <c r="G53" s="201" t="s">
        <v>165</v>
      </c>
      <c r="H53" s="149" t="str">
        <f t="shared" si="2"/>
        <v>REDOVNA DJELATNOST SVEUČILIŠTA U ZAGREBU (IZ EVIDENCIJSKIH PRIHODA)</v>
      </c>
      <c r="I53" s="198">
        <v>85700</v>
      </c>
      <c r="J53" s="198">
        <v>87602.54</v>
      </c>
      <c r="K53" s="198">
        <v>88408.483368000001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7"/>
        <v>36</v>
      </c>
      <c r="V53" s="144" t="str">
        <f t="shared" si="8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3234</v>
      </c>
      <c r="F54" s="149" t="str">
        <f t="shared" si="0"/>
        <v>Komunalne usluge</v>
      </c>
      <c r="G54" s="201" t="s">
        <v>165</v>
      </c>
      <c r="H54" s="149" t="str">
        <f t="shared" si="2"/>
        <v>REDOVNA DJELATNOST SVEUČILIŠTA U ZAGREBU (IZ EVIDENCIJSKIH PRIHODA)</v>
      </c>
      <c r="I54" s="198">
        <v>54100</v>
      </c>
      <c r="J54" s="198">
        <v>55301.02</v>
      </c>
      <c r="K54" s="198">
        <v>55809.789384000003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7"/>
        <v>36</v>
      </c>
      <c r="V54" s="144" t="str">
        <f t="shared" si="8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3235</v>
      </c>
      <c r="F55" s="149" t="str">
        <f t="shared" si="0"/>
        <v>Zakupnine i najamnine</v>
      </c>
      <c r="G55" s="201" t="s">
        <v>165</v>
      </c>
      <c r="H55" s="149" t="str">
        <f t="shared" si="2"/>
        <v>REDOVNA DJELATNOST SVEUČILIŠTA U ZAGREBU (IZ EVIDENCIJSKIH PRIHODA)</v>
      </c>
      <c r="I55" s="198">
        <v>82500</v>
      </c>
      <c r="J55" s="198">
        <v>84331.5</v>
      </c>
      <c r="K55" s="198">
        <v>85107.349800000011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288</v>
      </c>
      <c r="U55" s="144" t="str">
        <f t="shared" si="7"/>
        <v>36</v>
      </c>
      <c r="V55" s="144" t="str">
        <f t="shared" si="8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3236</v>
      </c>
      <c r="F56" s="149" t="str">
        <f t="shared" si="0"/>
        <v>Zdravstvene i veterinarske usluge</v>
      </c>
      <c r="G56" s="201" t="s">
        <v>165</v>
      </c>
      <c r="H56" s="149" t="str">
        <f t="shared" si="2"/>
        <v>REDOVNA DJELATNOST SVEUČILIŠTA U ZAGREBU (IZ EVIDENCIJSKIH PRIHODA)</v>
      </c>
      <c r="I56" s="198">
        <v>73500</v>
      </c>
      <c r="J56" s="198">
        <v>75131.7</v>
      </c>
      <c r="K56" s="198">
        <v>75822.911640000006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7"/>
        <v>36</v>
      </c>
      <c r="V56" s="144" t="str">
        <f t="shared" si="8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3237</v>
      </c>
      <c r="F57" s="149" t="str">
        <f t="shared" si="0"/>
        <v>Intelektualne i osobne usluge</v>
      </c>
      <c r="G57" s="201" t="s">
        <v>165</v>
      </c>
      <c r="H57" s="149" t="str">
        <f t="shared" si="2"/>
        <v>REDOVNA DJELATNOST SVEUČILIŠTA U ZAGREBU (IZ EVIDENCIJSKIH PRIHODA)</v>
      </c>
      <c r="I57" s="198">
        <v>481500</v>
      </c>
      <c r="J57" s="198">
        <v>492189.3</v>
      </c>
      <c r="K57" s="198">
        <v>496717.44156000006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7"/>
        <v>36</v>
      </c>
      <c r="V57" s="144" t="str">
        <f t="shared" si="8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3238</v>
      </c>
      <c r="F58" s="149" t="str">
        <f t="shared" si="0"/>
        <v>Računalne usluge</v>
      </c>
      <c r="G58" s="201" t="s">
        <v>165</v>
      </c>
      <c r="H58" s="149" t="str">
        <f t="shared" si="2"/>
        <v>REDOVNA DJELATNOST SVEUČILIŠTA U ZAGREBU (IZ EVIDENCIJSKIH PRIHODA)</v>
      </c>
      <c r="I58" s="198">
        <v>66200</v>
      </c>
      <c r="J58" s="198">
        <v>67669.64</v>
      </c>
      <c r="K58" s="198">
        <v>68292.200688000012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7"/>
        <v>36</v>
      </c>
      <c r="V58" s="144" t="str">
        <f t="shared" si="8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3239</v>
      </c>
      <c r="F59" s="149" t="str">
        <f t="shared" si="0"/>
        <v>Ostale usluge</v>
      </c>
      <c r="G59" s="201" t="s">
        <v>165</v>
      </c>
      <c r="H59" s="149" t="str">
        <f t="shared" si="2"/>
        <v>REDOVNA DJELATNOST SVEUČILIŠTA U ZAGREBU (IZ EVIDENCIJSKIH PRIHODA)</v>
      </c>
      <c r="I59" s="198">
        <v>191900</v>
      </c>
      <c r="J59" s="198">
        <v>196160.18</v>
      </c>
      <c r="K59" s="198">
        <v>197964.85365600002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7"/>
        <v>36</v>
      </c>
      <c r="V59" s="144" t="str">
        <f t="shared" si="8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3241</v>
      </c>
      <c r="F60" s="149" t="str">
        <f t="shared" si="0"/>
        <v>Naknade troškova osobama izvan radnog odnosa</v>
      </c>
      <c r="G60" s="201" t="s">
        <v>165</v>
      </c>
      <c r="H60" s="149" t="str">
        <f t="shared" si="2"/>
        <v>REDOVNA DJELATNOST SVEUČILIŠTA U ZAGREBU (IZ EVIDENCIJSKIH PRIHODA)</v>
      </c>
      <c r="I60" s="198">
        <v>51900</v>
      </c>
      <c r="J60" s="198">
        <v>53052.18</v>
      </c>
      <c r="K60" s="198">
        <v>53540.260056000006</v>
      </c>
      <c r="M60" s="144" t="str">
        <f t="shared" si="3"/>
        <v>324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7"/>
        <v>36</v>
      </c>
      <c r="V60" s="144" t="str">
        <f t="shared" si="8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3292</v>
      </c>
      <c r="F61" s="149" t="str">
        <f t="shared" si="0"/>
        <v>Premije osiguranja</v>
      </c>
      <c r="G61" s="201" t="s">
        <v>165</v>
      </c>
      <c r="H61" s="149" t="str">
        <f t="shared" si="2"/>
        <v>REDOVNA DJELATNOST SVEUČILIŠTA U ZAGREBU (IZ EVIDENCIJSKIH PRIHODA)</v>
      </c>
      <c r="I61" s="198">
        <v>10400</v>
      </c>
      <c r="J61" s="198">
        <v>10630.88</v>
      </c>
      <c r="K61" s="198">
        <v>10728.684096000001</v>
      </c>
      <c r="M61" s="144" t="str">
        <f t="shared" si="3"/>
        <v>329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7"/>
        <v>36</v>
      </c>
      <c r="V61" s="144" t="str">
        <f t="shared" si="8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3293</v>
      </c>
      <c r="F62" s="149" t="str">
        <f t="shared" si="0"/>
        <v>Reprezentacija</v>
      </c>
      <c r="G62" s="201" t="s">
        <v>165</v>
      </c>
      <c r="H62" s="149" t="str">
        <f t="shared" si="2"/>
        <v>REDOVNA DJELATNOST SVEUČILIŠTA U ZAGREBU (IZ EVIDENCIJSKIH PRIHODA)</v>
      </c>
      <c r="I62" s="198">
        <v>108150</v>
      </c>
      <c r="J62" s="198">
        <v>110550.93</v>
      </c>
      <c r="K62" s="198">
        <v>111567.99855600001</v>
      </c>
      <c r="M62" s="144" t="str">
        <f t="shared" si="3"/>
        <v>329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7"/>
        <v>36</v>
      </c>
      <c r="V62" s="144" t="str">
        <f t="shared" si="8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"/>
        <v>Vlastiti prihodi</v>
      </c>
      <c r="E63" s="154">
        <v>3294</v>
      </c>
      <c r="F63" s="149" t="str">
        <f t="shared" si="0"/>
        <v>Članarine i norme</v>
      </c>
      <c r="G63" s="201" t="s">
        <v>165</v>
      </c>
      <c r="H63" s="149" t="str">
        <f t="shared" si="2"/>
        <v>REDOVNA DJELATNOST SVEUČILIŠTA U ZAGREBU (IZ EVIDENCIJSKIH PRIHODA)</v>
      </c>
      <c r="I63" s="198">
        <v>19450</v>
      </c>
      <c r="J63" s="198">
        <v>19881.79</v>
      </c>
      <c r="K63" s="198">
        <v>20064.702468000003</v>
      </c>
      <c r="M63" s="144" t="str">
        <f t="shared" si="3"/>
        <v>329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7"/>
        <v>36</v>
      </c>
      <c r="V63" s="144" t="str">
        <f t="shared" si="8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31</v>
      </c>
      <c r="D64" s="149" t="str">
        <f t="shared" si="1"/>
        <v>Vlastiti prihodi</v>
      </c>
      <c r="E64" s="154">
        <v>3295</v>
      </c>
      <c r="F64" s="149" t="str">
        <f t="shared" si="0"/>
        <v>Pristojbe i naknade</v>
      </c>
      <c r="G64" s="201" t="s">
        <v>165</v>
      </c>
      <c r="H64" s="149" t="str">
        <f t="shared" si="2"/>
        <v>REDOVNA DJELATNOST SVEUČILIŠTA U ZAGREBU (IZ EVIDENCIJSKIH PRIHODA)</v>
      </c>
      <c r="I64" s="198">
        <v>15300</v>
      </c>
      <c r="J64" s="198">
        <v>15639.66</v>
      </c>
      <c r="K64" s="198">
        <v>15783.544872000002</v>
      </c>
      <c r="M64" s="144" t="str">
        <f t="shared" si="3"/>
        <v>329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7"/>
        <v>37</v>
      </c>
      <c r="V64" s="144" t="str">
        <f t="shared" si="8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31</v>
      </c>
      <c r="D65" s="149" t="str">
        <f t="shared" si="1"/>
        <v>Vlastiti prihodi</v>
      </c>
      <c r="E65" s="154">
        <v>3296</v>
      </c>
      <c r="F65" s="149" t="str">
        <f t="shared" si="0"/>
        <v>Troškovi sudskih postupaka</v>
      </c>
      <c r="G65" s="201" t="s">
        <v>165</v>
      </c>
      <c r="H65" s="149" t="str">
        <f t="shared" si="2"/>
        <v>REDOVNA DJELATNOST SVEUČILIŠTA U ZAGREBU (IZ EVIDENCIJSKIH PRIHODA)</v>
      </c>
      <c r="I65" s="198">
        <v>6000</v>
      </c>
      <c r="J65" s="198">
        <v>6133.2</v>
      </c>
      <c r="K65" s="198">
        <v>6189.6254400000007</v>
      </c>
      <c r="M65" s="144" t="str">
        <f t="shared" si="3"/>
        <v>329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7"/>
        <v>37</v>
      </c>
      <c r="V65" s="144" t="str">
        <f t="shared" si="8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si="1"/>
        <v>Vlastiti prihodi</v>
      </c>
      <c r="E66" s="154">
        <v>3299</v>
      </c>
      <c r="F66" s="149" t="str">
        <f t="shared" si="0"/>
        <v>Ostali nespomenuti rashodi poslovanja</v>
      </c>
      <c r="G66" s="201" t="s">
        <v>165</v>
      </c>
      <c r="H66" s="149" t="str">
        <f t="shared" si="2"/>
        <v>REDOVNA DJELATNOST SVEUČILIŠTA U ZAGREBU (IZ EVIDENCIJSKIH PRIHODA)</v>
      </c>
      <c r="I66" s="198">
        <v>19600</v>
      </c>
      <c r="J66" s="198">
        <v>20035.12</v>
      </c>
      <c r="K66" s="198">
        <v>20219.443104000002</v>
      </c>
      <c r="M66" s="144" t="str">
        <f t="shared" si="3"/>
        <v>329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7"/>
        <v>37</v>
      </c>
      <c r="V66" s="144" t="str">
        <f t="shared" si="8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31</v>
      </c>
      <c r="D67" s="149" t="str">
        <f t="shared" si="1"/>
        <v>Vlastiti prihodi</v>
      </c>
      <c r="E67" s="154">
        <v>3431</v>
      </c>
      <c r="F67" s="149" t="str">
        <f t="shared" ref="F67:F130" si="9">IFERROR(VLOOKUP(E67,$R$5:$T$129,2,FALSE),"")</f>
        <v>Bankarske usluge i usluge platnog prometa</v>
      </c>
      <c r="G67" s="201" t="s">
        <v>165</v>
      </c>
      <c r="H67" s="149" t="str">
        <f t="shared" si="2"/>
        <v>REDOVNA DJELATNOST SVEUČILIŠTA U ZAGREBU (IZ EVIDENCIJSKIH PRIHODA)</v>
      </c>
      <c r="I67" s="198">
        <v>17000</v>
      </c>
      <c r="J67" s="198">
        <v>17377.400000000001</v>
      </c>
      <c r="K67" s="198">
        <v>17537.272080000002</v>
      </c>
      <c r="M67" s="144" t="str">
        <f t="shared" si="3"/>
        <v>343</v>
      </c>
      <c r="N67" s="144" t="str">
        <f t="shared" si="4"/>
        <v>34</v>
      </c>
      <c r="R67" s="144">
        <v>3714</v>
      </c>
      <c r="S67" s="144" t="s">
        <v>209</v>
      </c>
      <c r="U67" s="144" t="str">
        <f t="shared" si="7"/>
        <v>37</v>
      </c>
      <c r="V67" s="144" t="str">
        <f t="shared" si="8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31</v>
      </c>
      <c r="D68" s="149" t="str">
        <f t="shared" ref="D68:D131" si="10">IFERROR(VLOOKUP(C68,$O$6:$P$16,2,FALSE),"")</f>
        <v>Vlastiti prihodi</v>
      </c>
      <c r="E68" s="154">
        <v>3432</v>
      </c>
      <c r="F68" s="149" t="str">
        <f t="shared" si="9"/>
        <v>Negativne tečajne razlike i razlike zbog primjene valutne kl</v>
      </c>
      <c r="G68" s="201" t="s">
        <v>165</v>
      </c>
      <c r="H68" s="149" t="str">
        <f t="shared" ref="H68:H131" si="11">IFERROR(VLOOKUP(G68,$X$6:$Y$50,2,FALSE),"")</f>
        <v>REDOVNA DJELATNOST SVEUČILIŠTA U ZAGREBU (IZ EVIDENCIJSKIH PRIHODA)</v>
      </c>
      <c r="I68" s="198">
        <v>2000</v>
      </c>
      <c r="J68" s="198">
        <v>2044.4</v>
      </c>
      <c r="K68" s="198">
        <v>2063.2084800000002</v>
      </c>
      <c r="M68" s="144" t="str">
        <f t="shared" ref="M68:M131" si="12">LEFT(E68,3)</f>
        <v>343</v>
      </c>
      <c r="N68" s="144" t="str">
        <f t="shared" ref="N68:N131" si="13">LEFT(E68,2)</f>
        <v>34</v>
      </c>
      <c r="R68" s="144">
        <v>3715</v>
      </c>
      <c r="S68" s="144" t="s">
        <v>147</v>
      </c>
      <c r="U68" s="144" t="str">
        <f t="shared" si="7"/>
        <v>37</v>
      </c>
      <c r="V68" s="144" t="str">
        <f t="shared" si="8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31</v>
      </c>
      <c r="D69" s="149" t="str">
        <f t="shared" si="10"/>
        <v>Vlastiti prihodi</v>
      </c>
      <c r="E69" s="154">
        <v>3433</v>
      </c>
      <c r="F69" s="149" t="str">
        <f t="shared" si="9"/>
        <v>Zatezne kamate</v>
      </c>
      <c r="G69" s="201" t="s">
        <v>165</v>
      </c>
      <c r="H69" s="149" t="str">
        <f t="shared" si="11"/>
        <v>REDOVNA DJELATNOST SVEUČILIŠTA U ZAGREBU (IZ EVIDENCIJSKIH PRIHODA)</v>
      </c>
      <c r="I69" s="198">
        <v>2000</v>
      </c>
      <c r="J69" s="198">
        <v>2044.4</v>
      </c>
      <c r="K69" s="198">
        <v>2063.2084800000002</v>
      </c>
      <c r="M69" s="144" t="str">
        <f t="shared" si="12"/>
        <v>343</v>
      </c>
      <c r="N69" s="144" t="str">
        <f t="shared" si="13"/>
        <v>34</v>
      </c>
      <c r="R69" s="144">
        <v>3721</v>
      </c>
      <c r="S69" s="144" t="s">
        <v>84</v>
      </c>
      <c r="U69" s="144" t="str">
        <f t="shared" si="7"/>
        <v>37</v>
      </c>
      <c r="V69" s="144" t="str">
        <f t="shared" si="8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31</v>
      </c>
      <c r="D70" s="149" t="str">
        <f t="shared" si="10"/>
        <v>Vlastiti prihodi</v>
      </c>
      <c r="E70" s="154">
        <v>3721</v>
      </c>
      <c r="F70" s="149" t="str">
        <f t="shared" si="9"/>
        <v>Naknade građanima i kućanstvima u novcu</v>
      </c>
      <c r="G70" s="201" t="s">
        <v>165</v>
      </c>
      <c r="H70" s="149" t="str">
        <f t="shared" si="11"/>
        <v>REDOVNA DJELATNOST SVEUČILIŠTA U ZAGREBU (IZ EVIDENCIJSKIH PRIHODA)</v>
      </c>
      <c r="I70" s="198">
        <v>9000</v>
      </c>
      <c r="J70" s="198">
        <v>9199.7999999999993</v>
      </c>
      <c r="K70" s="198">
        <v>9284.4381599999997</v>
      </c>
      <c r="M70" s="144" t="str">
        <f t="shared" si="12"/>
        <v>372</v>
      </c>
      <c r="N70" s="144" t="str">
        <f t="shared" si="13"/>
        <v>37</v>
      </c>
      <c r="R70" s="144">
        <v>3722</v>
      </c>
      <c r="S70" s="144" t="s">
        <v>170</v>
      </c>
      <c r="U70" s="144" t="str">
        <f t="shared" si="7"/>
        <v>37</v>
      </c>
      <c r="V70" s="144" t="str">
        <f t="shared" si="8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31</v>
      </c>
      <c r="D71" s="149" t="str">
        <f t="shared" si="10"/>
        <v>Vlastiti prihodi</v>
      </c>
      <c r="E71" s="154">
        <v>3811</v>
      </c>
      <c r="F71" s="149" t="str">
        <f t="shared" si="9"/>
        <v>Tekuće donacije u novcu</v>
      </c>
      <c r="G71" s="201" t="s">
        <v>165</v>
      </c>
      <c r="H71" s="149" t="str">
        <f t="shared" si="11"/>
        <v>REDOVNA DJELATNOST SVEUČILIŠTA U ZAGREBU (IZ EVIDENCIJSKIH PRIHODA)</v>
      </c>
      <c r="I71" s="198">
        <v>4500</v>
      </c>
      <c r="J71" s="198">
        <v>4599.8999999999996</v>
      </c>
      <c r="K71" s="198">
        <v>4642.2190799999998</v>
      </c>
      <c r="M71" s="144" t="str">
        <f t="shared" si="12"/>
        <v>381</v>
      </c>
      <c r="N71" s="144" t="str">
        <f t="shared" si="13"/>
        <v>38</v>
      </c>
      <c r="R71" s="144">
        <v>3723</v>
      </c>
      <c r="S71" s="144" t="s">
        <v>124</v>
      </c>
      <c r="U71" s="144" t="str">
        <f t="shared" si="7"/>
        <v>37</v>
      </c>
      <c r="V71" s="144" t="str">
        <f t="shared" si="8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31</v>
      </c>
      <c r="D72" s="149" t="str">
        <f t="shared" si="10"/>
        <v>Vlastiti prihodi</v>
      </c>
      <c r="E72" s="154">
        <v>4221</v>
      </c>
      <c r="F72" s="149" t="str">
        <f t="shared" si="9"/>
        <v>Uredska oprema i namještaj</v>
      </c>
      <c r="G72" s="201" t="s">
        <v>165</v>
      </c>
      <c r="H72" s="149" t="str">
        <f t="shared" si="11"/>
        <v>REDOVNA DJELATNOST SVEUČILIŠTA U ZAGREBU (IZ EVIDENCIJSKIH PRIHODA)</v>
      </c>
      <c r="I72" s="198">
        <v>53100</v>
      </c>
      <c r="J72" s="198">
        <v>54278.82</v>
      </c>
      <c r="K72" s="198">
        <v>54778.185144000003</v>
      </c>
      <c r="M72" s="144" t="str">
        <f t="shared" si="12"/>
        <v>422</v>
      </c>
      <c r="N72" s="144" t="str">
        <f t="shared" si="13"/>
        <v>42</v>
      </c>
      <c r="R72" s="144">
        <v>3811</v>
      </c>
      <c r="S72" s="144" t="s">
        <v>74</v>
      </c>
      <c r="U72" s="144" t="str">
        <f t="shared" si="7"/>
        <v>38</v>
      </c>
      <c r="V72" s="144" t="str">
        <f t="shared" si="8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31</v>
      </c>
      <c r="D73" s="149" t="str">
        <f t="shared" si="10"/>
        <v>Vlastiti prihodi</v>
      </c>
      <c r="E73" s="154">
        <v>4222</v>
      </c>
      <c r="F73" s="149" t="str">
        <f t="shared" si="9"/>
        <v>Komunikacijska oprema</v>
      </c>
      <c r="G73" s="201" t="s">
        <v>165</v>
      </c>
      <c r="H73" s="149" t="str">
        <f t="shared" si="11"/>
        <v>REDOVNA DJELATNOST SVEUČILIŠTA U ZAGREBU (IZ EVIDENCIJSKIH PRIHODA)</v>
      </c>
      <c r="I73" s="198">
        <v>26000</v>
      </c>
      <c r="J73" s="198">
        <v>26577.200000000001</v>
      </c>
      <c r="K73" s="198">
        <v>26821.710240000004</v>
      </c>
      <c r="M73" s="144" t="str">
        <f t="shared" si="12"/>
        <v>422</v>
      </c>
      <c r="N73" s="144" t="str">
        <f t="shared" si="13"/>
        <v>42</v>
      </c>
      <c r="R73" s="144">
        <v>3812</v>
      </c>
      <c r="S73" s="144" t="s">
        <v>171</v>
      </c>
      <c r="U73" s="144" t="str">
        <f t="shared" si="7"/>
        <v>38</v>
      </c>
      <c r="V73" s="144" t="str">
        <f t="shared" si="8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31</v>
      </c>
      <c r="D74" s="149" t="str">
        <f t="shared" si="10"/>
        <v>Vlastiti prihodi</v>
      </c>
      <c r="E74" s="154">
        <v>4223</v>
      </c>
      <c r="F74" s="149" t="str">
        <f t="shared" si="9"/>
        <v>Oprema za održavanje i zaštitu</v>
      </c>
      <c r="G74" s="201" t="s">
        <v>165</v>
      </c>
      <c r="H74" s="149" t="str">
        <f t="shared" si="11"/>
        <v>REDOVNA DJELATNOST SVEUČILIŠTA U ZAGREBU (IZ EVIDENCIJSKIH PRIHODA)</v>
      </c>
      <c r="I74" s="198">
        <v>61500</v>
      </c>
      <c r="J74" s="198">
        <v>62865.3</v>
      </c>
      <c r="K74" s="198">
        <v>63443.660760000006</v>
      </c>
      <c r="M74" s="144" t="str">
        <f t="shared" si="12"/>
        <v>422</v>
      </c>
      <c r="N74" s="144" t="str">
        <f t="shared" si="13"/>
        <v>42</v>
      </c>
      <c r="R74" s="144">
        <v>3813</v>
      </c>
      <c r="S74" s="144" t="s">
        <v>113</v>
      </c>
      <c r="U74" s="144" t="str">
        <f t="shared" ref="U74:U80" si="14">LEFT(R74,2)</f>
        <v>38</v>
      </c>
      <c r="V74" s="144" t="str">
        <f t="shared" ref="V74:V80" si="15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31</v>
      </c>
      <c r="D75" s="149" t="str">
        <f t="shared" si="10"/>
        <v>Vlastiti prihodi</v>
      </c>
      <c r="E75" s="154">
        <v>4224</v>
      </c>
      <c r="F75" s="149" t="str">
        <f t="shared" si="9"/>
        <v>Medicinska i laboratorijska oprema</v>
      </c>
      <c r="G75" s="201" t="s">
        <v>165</v>
      </c>
      <c r="H75" s="149" t="str">
        <f t="shared" si="11"/>
        <v>REDOVNA DJELATNOST SVEUČILIŠTA U ZAGREBU (IZ EVIDENCIJSKIH PRIHODA)</v>
      </c>
      <c r="I75" s="198">
        <v>359950</v>
      </c>
      <c r="J75" s="198">
        <v>367940.89</v>
      </c>
      <c r="K75" s="198">
        <v>371325.94618800003</v>
      </c>
      <c r="M75" s="144" t="str">
        <f t="shared" si="12"/>
        <v>422</v>
      </c>
      <c r="N75" s="144" t="str">
        <f t="shared" si="13"/>
        <v>42</v>
      </c>
      <c r="R75" s="144">
        <v>3821</v>
      </c>
      <c r="S75" s="144" t="s">
        <v>189</v>
      </c>
      <c r="U75" s="144" t="str">
        <f t="shared" si="14"/>
        <v>38</v>
      </c>
      <c r="V75" s="144" t="str">
        <f t="shared" si="15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31</v>
      </c>
      <c r="D76" s="149" t="str">
        <f t="shared" si="10"/>
        <v>Vlastiti prihodi</v>
      </c>
      <c r="E76" s="154">
        <v>4225</v>
      </c>
      <c r="F76" s="149" t="str">
        <f t="shared" si="9"/>
        <v>Instrumenti, uređaji i strojevi</v>
      </c>
      <c r="G76" s="201" t="s">
        <v>165</v>
      </c>
      <c r="H76" s="149" t="str">
        <f t="shared" si="11"/>
        <v>REDOVNA DJELATNOST SVEUČILIŠTA U ZAGREBU (IZ EVIDENCIJSKIH PRIHODA)</v>
      </c>
      <c r="I76" s="198">
        <v>85250</v>
      </c>
      <c r="J76" s="198">
        <v>87142.55</v>
      </c>
      <c r="K76" s="198">
        <v>87944.261460000009</v>
      </c>
      <c r="M76" s="144" t="str">
        <f t="shared" si="12"/>
        <v>422</v>
      </c>
      <c r="N76" s="144" t="str">
        <f t="shared" si="13"/>
        <v>42</v>
      </c>
      <c r="R76" s="144">
        <v>3831</v>
      </c>
      <c r="S76" s="144" t="s">
        <v>172</v>
      </c>
      <c r="U76" s="144" t="str">
        <f t="shared" si="14"/>
        <v>38</v>
      </c>
      <c r="V76" s="144" t="str">
        <f t="shared" si="15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31</v>
      </c>
      <c r="D77" s="149" t="str">
        <f t="shared" si="10"/>
        <v>Vlastiti prihodi</v>
      </c>
      <c r="E77" s="154">
        <v>4521</v>
      </c>
      <c r="F77" s="149" t="str">
        <f t="shared" si="9"/>
        <v>Dodatna ulaganja na postrojenjima i opremi</v>
      </c>
      <c r="G77" s="201" t="s">
        <v>165</v>
      </c>
      <c r="H77" s="149" t="str">
        <f t="shared" si="11"/>
        <v>REDOVNA DJELATNOST SVEUČILIŠTA U ZAGREBU (IZ EVIDENCIJSKIH PRIHODA)</v>
      </c>
      <c r="I77" s="198">
        <v>68000</v>
      </c>
      <c r="J77" s="198">
        <v>69509.600000000006</v>
      </c>
      <c r="K77" s="198">
        <v>70149.08832000001</v>
      </c>
      <c r="M77" s="144" t="str">
        <f t="shared" si="12"/>
        <v>452</v>
      </c>
      <c r="N77" s="144" t="str">
        <f t="shared" si="13"/>
        <v>45</v>
      </c>
      <c r="R77" s="144">
        <v>3832</v>
      </c>
      <c r="S77" s="144" t="s">
        <v>212</v>
      </c>
      <c r="U77" s="144" t="str">
        <f t="shared" si="14"/>
        <v>38</v>
      </c>
      <c r="V77" s="144" t="str">
        <f t="shared" si="15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43</v>
      </c>
      <c r="D78" s="149" t="str">
        <f t="shared" si="10"/>
        <v>Ostali prihodi za posebne namjene</v>
      </c>
      <c r="E78" s="154">
        <v>3111</v>
      </c>
      <c r="F78" s="149" t="str">
        <f t="shared" si="9"/>
        <v>Plaće za redovan rad</v>
      </c>
      <c r="G78" s="201" t="s">
        <v>165</v>
      </c>
      <c r="H78" s="149" t="str">
        <f t="shared" si="11"/>
        <v>REDOVNA DJELATNOST SVEUČILIŠTA U ZAGREBU (IZ EVIDENCIJSKIH PRIHODA)</v>
      </c>
      <c r="I78" s="198">
        <v>1494900</v>
      </c>
      <c r="J78" s="198">
        <v>1528086.78</v>
      </c>
      <c r="K78" s="198">
        <v>1542145.1783760001</v>
      </c>
      <c r="M78" s="144" t="str">
        <f t="shared" si="12"/>
        <v>311</v>
      </c>
      <c r="N78" s="144" t="str">
        <f t="shared" si="13"/>
        <v>31</v>
      </c>
      <c r="R78" s="144">
        <v>3833</v>
      </c>
      <c r="S78" s="144" t="s">
        <v>173</v>
      </c>
      <c r="U78" s="144" t="str">
        <f t="shared" si="14"/>
        <v>38</v>
      </c>
      <c r="V78" s="144" t="str">
        <f t="shared" si="15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43</v>
      </c>
      <c r="D79" s="149" t="str">
        <f t="shared" si="10"/>
        <v>Ostali prihodi za posebne namjene</v>
      </c>
      <c r="E79" s="154">
        <v>3121</v>
      </c>
      <c r="F79" s="149" t="str">
        <f t="shared" si="9"/>
        <v>Ostali rashodi za zaposlene</v>
      </c>
      <c r="G79" s="201" t="s">
        <v>165</v>
      </c>
      <c r="H79" s="149" t="str">
        <f t="shared" si="11"/>
        <v>REDOVNA DJELATNOST SVEUČILIŠTA U ZAGREBU (IZ EVIDENCIJSKIH PRIHODA)</v>
      </c>
      <c r="I79" s="198">
        <v>70200</v>
      </c>
      <c r="J79" s="198">
        <v>71758.44</v>
      </c>
      <c r="K79" s="198">
        <v>72418.617648000014</v>
      </c>
      <c r="M79" s="144" t="str">
        <f t="shared" si="12"/>
        <v>312</v>
      </c>
      <c r="N79" s="144" t="str">
        <f t="shared" si="13"/>
        <v>31</v>
      </c>
      <c r="R79" s="144">
        <v>3834</v>
      </c>
      <c r="S79" s="144" t="s">
        <v>174</v>
      </c>
      <c r="U79" s="144" t="str">
        <f t="shared" si="14"/>
        <v>38</v>
      </c>
      <c r="V79" s="144" t="str">
        <f t="shared" si="15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43</v>
      </c>
      <c r="D80" s="149" t="str">
        <f t="shared" si="10"/>
        <v>Ostali prihodi za posebne namjene</v>
      </c>
      <c r="E80" s="154">
        <v>3132</v>
      </c>
      <c r="F80" s="149" t="str">
        <f t="shared" si="9"/>
        <v>Doprinosi za obvezno zdravstveno osiguranje</v>
      </c>
      <c r="G80" s="201" t="s">
        <v>165</v>
      </c>
      <c r="H80" s="149" t="str">
        <f t="shared" si="11"/>
        <v>REDOVNA DJELATNOST SVEUČILIŠTA U ZAGREBU (IZ EVIDENCIJSKIH PRIHODA)</v>
      </c>
      <c r="I80" s="198">
        <v>246600</v>
      </c>
      <c r="J80" s="198">
        <v>252074.52</v>
      </c>
      <c r="K80" s="198">
        <v>254393.605584</v>
      </c>
      <c r="M80" s="144" t="str">
        <f t="shared" si="12"/>
        <v>313</v>
      </c>
      <c r="N80" s="144" t="str">
        <f t="shared" si="13"/>
        <v>31</v>
      </c>
      <c r="R80" s="144">
        <v>3835</v>
      </c>
      <c r="S80" s="144" t="s">
        <v>175</v>
      </c>
      <c r="U80" s="144" t="str">
        <f t="shared" si="14"/>
        <v>38</v>
      </c>
      <c r="V80" s="144" t="str">
        <f t="shared" si="15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43</v>
      </c>
      <c r="D81" s="149" t="str">
        <f t="shared" si="10"/>
        <v>Ostali prihodi za posebne namjene</v>
      </c>
      <c r="E81" s="154">
        <v>3211</v>
      </c>
      <c r="F81" s="149" t="str">
        <f t="shared" si="9"/>
        <v>Službena putovanja</v>
      </c>
      <c r="G81" s="201" t="s">
        <v>165</v>
      </c>
      <c r="H81" s="149" t="str">
        <f t="shared" si="11"/>
        <v>REDOVNA DJELATNOST SVEUČILIŠTA U ZAGREBU (IZ EVIDENCIJSKIH PRIHODA)</v>
      </c>
      <c r="I81" s="198">
        <v>376750</v>
      </c>
      <c r="J81" s="198">
        <v>385113.85</v>
      </c>
      <c r="K81" s="198">
        <v>388656.89741999999</v>
      </c>
      <c r="M81" s="144" t="str">
        <f t="shared" si="12"/>
        <v>321</v>
      </c>
      <c r="N81" s="144" t="str">
        <f t="shared" si="13"/>
        <v>32</v>
      </c>
      <c r="R81" s="214">
        <v>3861</v>
      </c>
      <c r="S81" s="215" t="s">
        <v>849</v>
      </c>
      <c r="T81" s="214"/>
      <c r="U81" s="214" t="str">
        <f>LEFT(R81,2)</f>
        <v>38</v>
      </c>
      <c r="V81" s="214" t="str">
        <f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0"/>
        <v>Ostali prihodi za posebne namjene</v>
      </c>
      <c r="E82" s="154">
        <v>3212</v>
      </c>
      <c r="F82" s="149" t="str">
        <f t="shared" si="9"/>
        <v>Naknade za prijevoz, za rad na terenu i odvojeni život</v>
      </c>
      <c r="G82" s="201" t="s">
        <v>165</v>
      </c>
      <c r="H82" s="149" t="str">
        <f t="shared" si="11"/>
        <v>REDOVNA DJELATNOST SVEUČILIŠTA U ZAGREBU (IZ EVIDENCIJSKIH PRIHODA)</v>
      </c>
      <c r="I82" s="198">
        <v>67150</v>
      </c>
      <c r="J82" s="198">
        <v>68640.73</v>
      </c>
      <c r="K82" s="198">
        <v>69272.224715999997</v>
      </c>
      <c r="M82" s="144" t="str">
        <f t="shared" si="12"/>
        <v>321</v>
      </c>
      <c r="N82" s="144" t="str">
        <f t="shared" si="13"/>
        <v>32</v>
      </c>
      <c r="R82" s="213">
        <v>3862</v>
      </c>
      <c r="S82" s="144" t="s">
        <v>850</v>
      </c>
      <c r="U82" s="144" t="str">
        <f>LEFT(R82,2)</f>
        <v>38</v>
      </c>
      <c r="V82" s="144" t="str">
        <f>LEFT(R82,3)</f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0"/>
        <v>Ostali prihodi za posebne namjene</v>
      </c>
      <c r="E83" s="154">
        <v>3213</v>
      </c>
      <c r="F83" s="149" t="str">
        <f t="shared" si="9"/>
        <v>Stručno usavršavanje zaposlenika</v>
      </c>
      <c r="G83" s="201" t="s">
        <v>165</v>
      </c>
      <c r="H83" s="149" t="str">
        <f t="shared" si="11"/>
        <v>REDOVNA DJELATNOST SVEUČILIŠTA U ZAGREBU (IZ EVIDENCIJSKIH PRIHODA)</v>
      </c>
      <c r="I83" s="198">
        <v>83800</v>
      </c>
      <c r="J83" s="198">
        <v>85660.36</v>
      </c>
      <c r="K83" s="198">
        <v>86448.435312000016</v>
      </c>
      <c r="M83" s="144" t="str">
        <f t="shared" si="12"/>
        <v>321</v>
      </c>
      <c r="N83" s="144" t="str">
        <f t="shared" si="13"/>
        <v>32</v>
      </c>
      <c r="R83" s="213">
        <v>3863</v>
      </c>
      <c r="S83" s="144" t="s">
        <v>851</v>
      </c>
      <c r="U83" s="144" t="str">
        <f>LEFT(R83,2)</f>
        <v>38</v>
      </c>
      <c r="V83" s="144" t="str">
        <f>LEFT(R83,3)</f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0"/>
        <v>Ostali prihodi za posebne namjene</v>
      </c>
      <c r="E84" s="154">
        <v>3214</v>
      </c>
      <c r="F84" s="149" t="str">
        <f t="shared" si="9"/>
        <v>Ostale naknade troškova zaposlenima</v>
      </c>
      <c r="G84" s="201" t="s">
        <v>165</v>
      </c>
      <c r="H84" s="149" t="str">
        <f t="shared" si="11"/>
        <v>REDOVNA DJELATNOST SVEUČILIŠTA U ZAGREBU (IZ EVIDENCIJSKIH PRIHODA)</v>
      </c>
      <c r="I84" s="198">
        <v>4800</v>
      </c>
      <c r="J84" s="198">
        <v>4906.5600000000004</v>
      </c>
      <c r="K84" s="198">
        <v>4951.7003520000007</v>
      </c>
      <c r="M84" s="144" t="str">
        <f t="shared" si="12"/>
        <v>321</v>
      </c>
      <c r="N84" s="144" t="str">
        <f t="shared" si="13"/>
        <v>32</v>
      </c>
      <c r="R84" s="144">
        <v>4111</v>
      </c>
      <c r="S84" s="144" t="s">
        <v>176</v>
      </c>
      <c r="U84" s="144" t="str">
        <f t="shared" ref="U84:U101" si="16">LEFT(R84,2)</f>
        <v>41</v>
      </c>
      <c r="V84" s="144" t="str">
        <f t="shared" ref="V84:V118" si="17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0"/>
        <v>Ostali prihodi za posebne namjene</v>
      </c>
      <c r="E85" s="154">
        <v>3221</v>
      </c>
      <c r="F85" s="149" t="str">
        <f t="shared" si="9"/>
        <v>Uredski materijal i ostali materijalni rashodi</v>
      </c>
      <c r="G85" s="201" t="s">
        <v>165</v>
      </c>
      <c r="H85" s="149" t="str">
        <f t="shared" si="11"/>
        <v>REDOVNA DJELATNOST SVEUČILIŠTA U ZAGREBU (IZ EVIDENCIJSKIH PRIHODA)</v>
      </c>
      <c r="I85" s="198">
        <v>27700</v>
      </c>
      <c r="J85" s="198">
        <v>28314.94</v>
      </c>
      <c r="K85" s="198">
        <v>28575.437448000001</v>
      </c>
      <c r="M85" s="144" t="str">
        <f t="shared" si="12"/>
        <v>322</v>
      </c>
      <c r="N85" s="144" t="str">
        <f t="shared" si="13"/>
        <v>32</v>
      </c>
      <c r="R85" s="144">
        <v>4113</v>
      </c>
      <c r="S85" s="144" t="s">
        <v>210</v>
      </c>
      <c r="U85" s="144" t="str">
        <f t="shared" si="16"/>
        <v>41</v>
      </c>
      <c r="V85" s="144" t="str">
        <f t="shared" si="17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0"/>
        <v>Ostali prihodi za posebne namjene</v>
      </c>
      <c r="E86" s="154">
        <v>3222</v>
      </c>
      <c r="F86" s="149" t="str">
        <f t="shared" si="9"/>
        <v>Materijal i sirovine</v>
      </c>
      <c r="G86" s="201" t="s">
        <v>165</v>
      </c>
      <c r="H86" s="149" t="str">
        <f t="shared" si="11"/>
        <v>REDOVNA DJELATNOST SVEUČILIŠTA U ZAGREBU (IZ EVIDENCIJSKIH PRIHODA)</v>
      </c>
      <c r="I86" s="198">
        <v>1035850</v>
      </c>
      <c r="J86" s="198">
        <v>1058845.8700000001</v>
      </c>
      <c r="K86" s="198">
        <v>1068587.2520040001</v>
      </c>
      <c r="M86" s="144" t="str">
        <f t="shared" si="12"/>
        <v>322</v>
      </c>
      <c r="N86" s="144" t="str">
        <f t="shared" si="13"/>
        <v>32</v>
      </c>
      <c r="R86" s="144">
        <v>4122</v>
      </c>
      <c r="S86" s="144" t="s">
        <v>177</v>
      </c>
      <c r="U86" s="144" t="str">
        <f t="shared" si="16"/>
        <v>41</v>
      </c>
      <c r="V86" s="144" t="str">
        <f t="shared" si="17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0"/>
        <v>Ostali prihodi za posebne namjene</v>
      </c>
      <c r="E87" s="154">
        <v>3223</v>
      </c>
      <c r="F87" s="149" t="str">
        <f t="shared" si="9"/>
        <v>Energija</v>
      </c>
      <c r="G87" s="201" t="s">
        <v>165</v>
      </c>
      <c r="H87" s="149" t="str">
        <f t="shared" si="11"/>
        <v>REDOVNA DJELATNOST SVEUČILIŠTA U ZAGREBU (IZ EVIDENCIJSKIH PRIHODA)</v>
      </c>
      <c r="I87" s="198">
        <v>74500</v>
      </c>
      <c r="J87" s="198">
        <v>76153.899999999994</v>
      </c>
      <c r="K87" s="198">
        <v>76854.515880000006</v>
      </c>
      <c r="M87" s="144" t="str">
        <f t="shared" si="12"/>
        <v>322</v>
      </c>
      <c r="N87" s="144" t="str">
        <f t="shared" si="13"/>
        <v>32</v>
      </c>
      <c r="R87" s="144">
        <v>4123</v>
      </c>
      <c r="S87" s="144" t="s">
        <v>148</v>
      </c>
      <c r="U87" s="144" t="str">
        <f t="shared" si="16"/>
        <v>41</v>
      </c>
      <c r="V87" s="144" t="str">
        <f t="shared" si="17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0"/>
        <v>Ostali prihodi za posebne namjene</v>
      </c>
      <c r="E88" s="154">
        <v>3224</v>
      </c>
      <c r="F88" s="149" t="str">
        <f t="shared" si="9"/>
        <v>Materijal i dijelovi za tekuće i investicijsko održavanje</v>
      </c>
      <c r="G88" s="201" t="s">
        <v>165</v>
      </c>
      <c r="H88" s="149" t="str">
        <f t="shared" si="11"/>
        <v>REDOVNA DJELATNOST SVEUČILIŠTA U ZAGREBU (IZ EVIDENCIJSKIH PRIHODA)</v>
      </c>
      <c r="I88" s="198">
        <v>58900</v>
      </c>
      <c r="J88" s="198">
        <v>60207.58</v>
      </c>
      <c r="K88" s="198">
        <v>60761.48973600001</v>
      </c>
      <c r="M88" s="144" t="str">
        <f t="shared" si="12"/>
        <v>322</v>
      </c>
      <c r="N88" s="144" t="str">
        <f t="shared" si="13"/>
        <v>32</v>
      </c>
      <c r="R88" s="144">
        <v>4124</v>
      </c>
      <c r="S88" s="144" t="s">
        <v>133</v>
      </c>
      <c r="U88" s="144" t="str">
        <f t="shared" si="16"/>
        <v>41</v>
      </c>
      <c r="V88" s="144" t="str">
        <f t="shared" si="17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0"/>
        <v>Ostali prihodi za posebne namjene</v>
      </c>
      <c r="E89" s="154">
        <v>3225</v>
      </c>
      <c r="F89" s="149" t="str">
        <f t="shared" si="9"/>
        <v>Sitni inventar i auto gume</v>
      </c>
      <c r="G89" s="201" t="s">
        <v>165</v>
      </c>
      <c r="H89" s="149" t="str">
        <f t="shared" si="11"/>
        <v>REDOVNA DJELATNOST SVEUČILIŠTA U ZAGREBU (IZ EVIDENCIJSKIH PRIHODA)</v>
      </c>
      <c r="I89" s="198">
        <v>81450</v>
      </c>
      <c r="J89" s="198">
        <v>83258.19</v>
      </c>
      <c r="K89" s="198">
        <v>84024.16534800001</v>
      </c>
      <c r="M89" s="144" t="str">
        <f t="shared" si="12"/>
        <v>322</v>
      </c>
      <c r="N89" s="144" t="str">
        <f t="shared" si="13"/>
        <v>32</v>
      </c>
      <c r="R89" s="144">
        <v>4126</v>
      </c>
      <c r="S89" s="144" t="s">
        <v>178</v>
      </c>
      <c r="U89" s="144" t="str">
        <f t="shared" si="16"/>
        <v>41</v>
      </c>
      <c r="V89" s="144" t="str">
        <f t="shared" si="17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0"/>
        <v>Ostali prihodi za posebne namjene</v>
      </c>
      <c r="E90" s="154">
        <v>3227</v>
      </c>
      <c r="F90" s="149" t="str">
        <f t="shared" si="9"/>
        <v>Službena, radna i zaštitna odjeća i obuća</v>
      </c>
      <c r="G90" s="201" t="s">
        <v>165</v>
      </c>
      <c r="H90" s="149" t="str">
        <f t="shared" si="11"/>
        <v>REDOVNA DJELATNOST SVEUČILIŠTA U ZAGREBU (IZ EVIDENCIJSKIH PRIHODA)</v>
      </c>
      <c r="I90" s="198">
        <v>6100</v>
      </c>
      <c r="J90" s="198">
        <v>6235.42</v>
      </c>
      <c r="K90" s="198">
        <v>6292.7858640000004</v>
      </c>
      <c r="M90" s="144" t="str">
        <f t="shared" si="12"/>
        <v>322</v>
      </c>
      <c r="N90" s="144" t="str">
        <f t="shared" si="13"/>
        <v>32</v>
      </c>
      <c r="R90" s="144">
        <v>4211</v>
      </c>
      <c r="S90" s="144" t="s">
        <v>192</v>
      </c>
      <c r="U90" s="144" t="str">
        <f t="shared" si="16"/>
        <v>42</v>
      </c>
      <c r="V90" s="144" t="str">
        <f t="shared" si="17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0"/>
        <v>Ostali prihodi za posebne namjene</v>
      </c>
      <c r="E91" s="154">
        <v>3231</v>
      </c>
      <c r="F91" s="149" t="str">
        <f t="shared" si="9"/>
        <v>Usluge telefona, pošte i prijevoza</v>
      </c>
      <c r="G91" s="201" t="s">
        <v>165</v>
      </c>
      <c r="H91" s="149" t="str">
        <f t="shared" si="11"/>
        <v>REDOVNA DJELATNOST SVEUČILIŠTA U ZAGREBU (IZ EVIDENCIJSKIH PRIHODA)</v>
      </c>
      <c r="I91" s="198">
        <v>15800</v>
      </c>
      <c r="J91" s="198">
        <v>16150.76</v>
      </c>
      <c r="K91" s="198">
        <v>16299.346992000003</v>
      </c>
      <c r="M91" s="144" t="str">
        <f t="shared" si="12"/>
        <v>323</v>
      </c>
      <c r="N91" s="144" t="str">
        <f t="shared" si="13"/>
        <v>32</v>
      </c>
      <c r="R91" s="144">
        <v>4212</v>
      </c>
      <c r="S91" s="144" t="s">
        <v>79</v>
      </c>
      <c r="U91" s="144" t="str">
        <f t="shared" si="16"/>
        <v>42</v>
      </c>
      <c r="V91" s="144" t="str">
        <f t="shared" si="17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0"/>
        <v>Ostali prihodi za posebne namjene</v>
      </c>
      <c r="E92" s="154">
        <v>3232</v>
      </c>
      <c r="F92" s="149" t="str">
        <f t="shared" si="9"/>
        <v>Usluge tekućeg i investicijskog održavanja</v>
      </c>
      <c r="G92" s="201" t="s">
        <v>165</v>
      </c>
      <c r="H92" s="149" t="str">
        <f t="shared" si="11"/>
        <v>REDOVNA DJELATNOST SVEUČILIŠTA U ZAGREBU (IZ EVIDENCIJSKIH PRIHODA)</v>
      </c>
      <c r="I92" s="198">
        <v>313700</v>
      </c>
      <c r="J92" s="198">
        <v>320664.14</v>
      </c>
      <c r="K92" s="198">
        <v>323614.25008800003</v>
      </c>
      <c r="M92" s="144" t="str">
        <f t="shared" si="12"/>
        <v>323</v>
      </c>
      <c r="N92" s="144" t="str">
        <f t="shared" si="13"/>
        <v>32</v>
      </c>
      <c r="R92" s="144">
        <v>4213</v>
      </c>
      <c r="S92" s="144" t="s">
        <v>179</v>
      </c>
      <c r="U92" s="144" t="str">
        <f t="shared" si="16"/>
        <v>42</v>
      </c>
      <c r="V92" s="144" t="str">
        <f t="shared" si="17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0"/>
        <v>Ostali prihodi za posebne namjene</v>
      </c>
      <c r="E93" s="154">
        <v>3233</v>
      </c>
      <c r="F93" s="149" t="str">
        <f t="shared" si="9"/>
        <v>Usluge promidžbe i informiranja</v>
      </c>
      <c r="G93" s="201" t="s">
        <v>165</v>
      </c>
      <c r="H93" s="149" t="str">
        <f t="shared" si="11"/>
        <v>REDOVNA DJELATNOST SVEUČILIŠTA U ZAGREBU (IZ EVIDENCIJSKIH PRIHODA)</v>
      </c>
      <c r="I93" s="198">
        <v>35700</v>
      </c>
      <c r="J93" s="198">
        <v>36492.54</v>
      </c>
      <c r="K93" s="198">
        <v>36828.271368000002</v>
      </c>
      <c r="M93" s="144" t="str">
        <f t="shared" si="12"/>
        <v>323</v>
      </c>
      <c r="N93" s="144" t="str">
        <f t="shared" si="13"/>
        <v>32</v>
      </c>
      <c r="R93" s="144">
        <v>4214</v>
      </c>
      <c r="S93" s="144" t="s">
        <v>180</v>
      </c>
      <c r="U93" s="144" t="str">
        <f t="shared" si="16"/>
        <v>42</v>
      </c>
      <c r="V93" s="144" t="str">
        <f t="shared" si="17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0"/>
        <v>Ostali prihodi za posebne namjene</v>
      </c>
      <c r="E94" s="154">
        <v>3234</v>
      </c>
      <c r="F94" s="149" t="str">
        <f t="shared" si="9"/>
        <v>Komunalne usluge</v>
      </c>
      <c r="G94" s="201" t="s">
        <v>165</v>
      </c>
      <c r="H94" s="149" t="str">
        <f t="shared" si="11"/>
        <v>REDOVNA DJELATNOST SVEUČILIŠTA U ZAGREBU (IZ EVIDENCIJSKIH PRIHODA)</v>
      </c>
      <c r="I94" s="198">
        <v>4100</v>
      </c>
      <c r="J94" s="198">
        <v>4191.0200000000004</v>
      </c>
      <c r="K94" s="198">
        <v>4229.5773840000011</v>
      </c>
      <c r="M94" s="144" t="str">
        <f t="shared" si="12"/>
        <v>323</v>
      </c>
      <c r="N94" s="144" t="str">
        <f t="shared" si="13"/>
        <v>32</v>
      </c>
      <c r="R94" s="144">
        <v>4221</v>
      </c>
      <c r="S94" s="144" t="s">
        <v>114</v>
      </c>
      <c r="U94" s="144" t="str">
        <f t="shared" si="16"/>
        <v>42</v>
      </c>
      <c r="V94" s="144" t="str">
        <f t="shared" si="17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0"/>
        <v>Ostali prihodi za posebne namjene</v>
      </c>
      <c r="E95" s="154">
        <v>3235</v>
      </c>
      <c r="F95" s="149" t="str">
        <f t="shared" si="9"/>
        <v>Zakupnine i najamnine</v>
      </c>
      <c r="G95" s="201" t="s">
        <v>165</v>
      </c>
      <c r="H95" s="149" t="str">
        <f t="shared" si="11"/>
        <v>REDOVNA DJELATNOST SVEUČILIŠTA U ZAGREBU (IZ EVIDENCIJSKIH PRIHODA)</v>
      </c>
      <c r="I95" s="198">
        <v>58500</v>
      </c>
      <c r="J95" s="198">
        <v>59798.7</v>
      </c>
      <c r="K95" s="198">
        <v>60348.848040000004</v>
      </c>
      <c r="M95" s="144" t="str">
        <f t="shared" si="12"/>
        <v>323</v>
      </c>
      <c r="N95" s="144" t="str">
        <f t="shared" si="13"/>
        <v>32</v>
      </c>
      <c r="R95" s="144">
        <v>4222</v>
      </c>
      <c r="S95" s="144" t="s">
        <v>125</v>
      </c>
      <c r="U95" s="144" t="str">
        <f t="shared" si="16"/>
        <v>42</v>
      </c>
      <c r="V95" s="144" t="str">
        <f t="shared" si="17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0"/>
        <v>Ostali prihodi za posebne namjene</v>
      </c>
      <c r="E96" s="154">
        <v>3236</v>
      </c>
      <c r="F96" s="149" t="str">
        <f t="shared" si="9"/>
        <v>Zdravstvene i veterinarske usluge</v>
      </c>
      <c r="G96" s="201" t="s">
        <v>165</v>
      </c>
      <c r="H96" s="149" t="str">
        <f t="shared" si="11"/>
        <v>REDOVNA DJELATNOST SVEUČILIŠTA U ZAGREBU (IZ EVIDENCIJSKIH PRIHODA)</v>
      </c>
      <c r="I96" s="198">
        <v>93500</v>
      </c>
      <c r="J96" s="198">
        <v>95575.7</v>
      </c>
      <c r="K96" s="198">
        <v>96454.996440000003</v>
      </c>
      <c r="M96" s="144" t="str">
        <f t="shared" si="12"/>
        <v>323</v>
      </c>
      <c r="N96" s="144" t="str">
        <f t="shared" si="13"/>
        <v>32</v>
      </c>
      <c r="R96" s="144">
        <v>4223</v>
      </c>
      <c r="S96" s="144" t="s">
        <v>138</v>
      </c>
      <c r="U96" s="144" t="str">
        <f t="shared" si="16"/>
        <v>42</v>
      </c>
      <c r="V96" s="144" t="str">
        <f t="shared" si="17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0"/>
        <v>Ostali prihodi za posebne namjene</v>
      </c>
      <c r="E97" s="154">
        <v>3237</v>
      </c>
      <c r="F97" s="149" t="str">
        <f t="shared" si="9"/>
        <v>Intelektualne i osobne usluge</v>
      </c>
      <c r="G97" s="201" t="s">
        <v>165</v>
      </c>
      <c r="H97" s="149" t="str">
        <f t="shared" si="11"/>
        <v>REDOVNA DJELATNOST SVEUČILIŠTA U ZAGREBU (IZ EVIDENCIJSKIH PRIHODA)</v>
      </c>
      <c r="I97" s="198">
        <v>664800</v>
      </c>
      <c r="J97" s="198">
        <v>679558.56</v>
      </c>
      <c r="K97" s="198">
        <v>685810.49875200016</v>
      </c>
      <c r="M97" s="144" t="str">
        <f t="shared" si="12"/>
        <v>323</v>
      </c>
      <c r="N97" s="144" t="str">
        <f t="shared" si="13"/>
        <v>32</v>
      </c>
      <c r="R97" s="144">
        <v>4224</v>
      </c>
      <c r="S97" s="144" t="s">
        <v>131</v>
      </c>
      <c r="U97" s="144" t="str">
        <f t="shared" si="16"/>
        <v>42</v>
      </c>
      <c r="V97" s="144" t="str">
        <f t="shared" si="17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0"/>
        <v>Ostali prihodi za posebne namjene</v>
      </c>
      <c r="E98" s="154">
        <v>3238</v>
      </c>
      <c r="F98" s="149" t="str">
        <f t="shared" si="9"/>
        <v>Računalne usluge</v>
      </c>
      <c r="G98" s="201" t="s">
        <v>165</v>
      </c>
      <c r="H98" s="149" t="str">
        <f t="shared" si="11"/>
        <v>REDOVNA DJELATNOST SVEUČILIŠTA U ZAGREBU (IZ EVIDENCIJSKIH PRIHODA)</v>
      </c>
      <c r="I98" s="198">
        <v>36200</v>
      </c>
      <c r="J98" s="198">
        <v>37003.64</v>
      </c>
      <c r="K98" s="198">
        <v>37344.073488000002</v>
      </c>
      <c r="M98" s="144" t="str">
        <f t="shared" si="12"/>
        <v>323</v>
      </c>
      <c r="N98" s="144" t="str">
        <f t="shared" si="13"/>
        <v>32</v>
      </c>
      <c r="R98" s="144">
        <v>4225</v>
      </c>
      <c r="S98" s="144" t="s">
        <v>135</v>
      </c>
      <c r="U98" s="144" t="str">
        <f t="shared" si="16"/>
        <v>42</v>
      </c>
      <c r="V98" s="144" t="str">
        <f t="shared" si="17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43</v>
      </c>
      <c r="D99" s="149" t="str">
        <f t="shared" si="10"/>
        <v>Ostali prihodi za posebne namjene</v>
      </c>
      <c r="E99" s="154">
        <v>3239</v>
      </c>
      <c r="F99" s="149" t="str">
        <f t="shared" si="9"/>
        <v>Ostale usluge</v>
      </c>
      <c r="G99" s="201" t="s">
        <v>165</v>
      </c>
      <c r="H99" s="149" t="str">
        <f t="shared" si="11"/>
        <v>REDOVNA DJELATNOST SVEUČILIŠTA U ZAGREBU (IZ EVIDENCIJSKIH PRIHODA)</v>
      </c>
      <c r="I99" s="198">
        <v>41900</v>
      </c>
      <c r="J99" s="198">
        <v>42830.18</v>
      </c>
      <c r="K99" s="198">
        <v>43224.217656000008</v>
      </c>
      <c r="M99" s="144" t="str">
        <f t="shared" si="12"/>
        <v>323</v>
      </c>
      <c r="N99" s="144" t="str">
        <f t="shared" si="13"/>
        <v>32</v>
      </c>
      <c r="R99" s="144">
        <v>4226</v>
      </c>
      <c r="S99" s="144" t="s">
        <v>181</v>
      </c>
      <c r="U99" s="144" t="str">
        <f t="shared" si="16"/>
        <v>42</v>
      </c>
      <c r="V99" s="144" t="str">
        <f t="shared" si="17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43</v>
      </c>
      <c r="D100" s="149" t="str">
        <f t="shared" si="10"/>
        <v>Ostali prihodi za posebne namjene</v>
      </c>
      <c r="E100" s="154">
        <v>3241</v>
      </c>
      <c r="F100" s="149" t="str">
        <f t="shared" si="9"/>
        <v>Naknade troškova osobama izvan radnog odnosa</v>
      </c>
      <c r="G100" s="201" t="s">
        <v>165</v>
      </c>
      <c r="H100" s="149" t="str">
        <f t="shared" si="11"/>
        <v>REDOVNA DJELATNOST SVEUČILIŠTA U ZAGREBU (IZ EVIDENCIJSKIH PRIHODA)</v>
      </c>
      <c r="I100" s="198">
        <v>79500</v>
      </c>
      <c r="J100" s="198">
        <v>81264.899999999994</v>
      </c>
      <c r="K100" s="198">
        <v>82012.537080000009</v>
      </c>
      <c r="M100" s="144" t="str">
        <f t="shared" si="12"/>
        <v>324</v>
      </c>
      <c r="N100" s="144" t="str">
        <f t="shared" si="13"/>
        <v>32</v>
      </c>
      <c r="R100" s="144">
        <v>4227</v>
      </c>
      <c r="S100" s="144" t="s">
        <v>149</v>
      </c>
      <c r="U100" s="144" t="str">
        <f t="shared" si="16"/>
        <v>42</v>
      </c>
      <c r="V100" s="144" t="str">
        <f t="shared" si="17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0"/>
        <v>Ostali prihodi za posebne namjene</v>
      </c>
      <c r="E101" s="154">
        <v>3292</v>
      </c>
      <c r="F101" s="149" t="str">
        <f t="shared" si="9"/>
        <v>Premije osiguranja</v>
      </c>
      <c r="G101" s="201" t="s">
        <v>165</v>
      </c>
      <c r="H101" s="149" t="str">
        <f t="shared" si="11"/>
        <v>REDOVNA DJELATNOST SVEUČILIŠTA U ZAGREBU (IZ EVIDENCIJSKIH PRIHODA)</v>
      </c>
      <c r="I101" s="198">
        <v>54600</v>
      </c>
      <c r="J101" s="198">
        <v>55812.12</v>
      </c>
      <c r="K101" s="198">
        <v>56325.591504000011</v>
      </c>
      <c r="M101" s="144" t="str">
        <f t="shared" si="12"/>
        <v>329</v>
      </c>
      <c r="N101" s="144" t="str">
        <f t="shared" si="13"/>
        <v>32</v>
      </c>
      <c r="R101" s="144">
        <v>4231</v>
      </c>
      <c r="S101" s="144" t="s">
        <v>182</v>
      </c>
      <c r="U101" s="144" t="str">
        <f t="shared" si="16"/>
        <v>42</v>
      </c>
      <c r="V101" s="144" t="str">
        <f t="shared" si="17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43</v>
      </c>
      <c r="D102" s="149" t="str">
        <f t="shared" si="10"/>
        <v>Ostali prihodi za posebne namjene</v>
      </c>
      <c r="E102" s="154">
        <v>3293</v>
      </c>
      <c r="F102" s="149" t="str">
        <f t="shared" si="9"/>
        <v>Reprezentacija</v>
      </c>
      <c r="G102" s="201" t="s">
        <v>165</v>
      </c>
      <c r="H102" s="149" t="str">
        <f t="shared" si="11"/>
        <v>REDOVNA DJELATNOST SVEUČILIŠTA U ZAGREBU (IZ EVIDENCIJSKIH PRIHODA)</v>
      </c>
      <c r="I102" s="198">
        <v>62400</v>
      </c>
      <c r="J102" s="198">
        <v>63785.279999999999</v>
      </c>
      <c r="K102" s="198">
        <v>64372.104576000005</v>
      </c>
      <c r="M102" s="144" t="str">
        <f t="shared" si="12"/>
        <v>329</v>
      </c>
      <c r="N102" s="144" t="str">
        <f t="shared" si="13"/>
        <v>32</v>
      </c>
      <c r="R102" s="144">
        <v>4233</v>
      </c>
      <c r="S102" s="144" t="s">
        <v>190</v>
      </c>
      <c r="U102" s="144" t="str">
        <f t="shared" ref="U102:U129" si="18">LEFT(R102,2)</f>
        <v>42</v>
      </c>
      <c r="V102" s="144" t="str">
        <f t="shared" si="17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0"/>
        <v>Ostali prihodi za posebne namjene</v>
      </c>
      <c r="E103" s="154">
        <v>3294</v>
      </c>
      <c r="F103" s="149" t="str">
        <f t="shared" si="9"/>
        <v>Članarine i norme</v>
      </c>
      <c r="G103" s="201" t="s">
        <v>165</v>
      </c>
      <c r="H103" s="149" t="str">
        <f t="shared" si="11"/>
        <v>REDOVNA DJELATNOST SVEUČILIŠTA U ZAGREBU (IZ EVIDENCIJSKIH PRIHODA)</v>
      </c>
      <c r="I103" s="198">
        <v>32800</v>
      </c>
      <c r="J103" s="198">
        <v>33528.160000000003</v>
      </c>
      <c r="K103" s="198">
        <v>33836.619072000009</v>
      </c>
      <c r="M103" s="144" t="str">
        <f t="shared" si="12"/>
        <v>329</v>
      </c>
      <c r="N103" s="144" t="str">
        <f t="shared" si="13"/>
        <v>32</v>
      </c>
      <c r="R103" s="144">
        <v>4241</v>
      </c>
      <c r="S103" s="144" t="s">
        <v>126</v>
      </c>
      <c r="U103" s="144" t="str">
        <f t="shared" si="18"/>
        <v>42</v>
      </c>
      <c r="V103" s="144" t="str">
        <f t="shared" si="17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43</v>
      </c>
      <c r="D104" s="149" t="str">
        <f t="shared" si="10"/>
        <v>Ostali prihodi za posebne namjene</v>
      </c>
      <c r="E104" s="154">
        <v>3295</v>
      </c>
      <c r="F104" s="149" t="str">
        <f t="shared" si="9"/>
        <v>Pristojbe i naknade</v>
      </c>
      <c r="G104" s="201" t="s">
        <v>165</v>
      </c>
      <c r="H104" s="149" t="str">
        <f t="shared" si="11"/>
        <v>REDOVNA DJELATNOST SVEUČILIŠTA U ZAGREBU (IZ EVIDENCIJSKIH PRIHODA)</v>
      </c>
      <c r="I104" s="198">
        <v>56700</v>
      </c>
      <c r="J104" s="198">
        <v>57958.74</v>
      </c>
      <c r="K104" s="198">
        <v>58491.960408000006</v>
      </c>
      <c r="M104" s="144" t="str">
        <f t="shared" si="12"/>
        <v>329</v>
      </c>
      <c r="N104" s="144" t="str">
        <f t="shared" si="13"/>
        <v>32</v>
      </c>
      <c r="R104" s="144">
        <v>4242</v>
      </c>
      <c r="S104" s="144" t="s">
        <v>159</v>
      </c>
      <c r="U104" s="144" t="str">
        <f t="shared" si="18"/>
        <v>42</v>
      </c>
      <c r="V104" s="144" t="str">
        <f t="shared" si="17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43</v>
      </c>
      <c r="D105" s="149" t="str">
        <f t="shared" si="10"/>
        <v>Ostali prihodi za posebne namjene</v>
      </c>
      <c r="E105" s="154">
        <v>3296</v>
      </c>
      <c r="F105" s="149" t="str">
        <f t="shared" si="9"/>
        <v>Troškovi sudskih postupaka</v>
      </c>
      <c r="G105" s="201" t="s">
        <v>165</v>
      </c>
      <c r="H105" s="149" t="str">
        <f t="shared" si="11"/>
        <v>REDOVNA DJELATNOST SVEUČILIŠTA U ZAGREBU (IZ EVIDENCIJSKIH PRIHODA)</v>
      </c>
      <c r="I105" s="198">
        <v>3000</v>
      </c>
      <c r="J105" s="198">
        <v>3066.6</v>
      </c>
      <c r="K105" s="198">
        <v>3094.8127200000004</v>
      </c>
      <c r="M105" s="144" t="str">
        <f t="shared" si="12"/>
        <v>329</v>
      </c>
      <c r="N105" s="144" t="str">
        <f t="shared" si="13"/>
        <v>32</v>
      </c>
      <c r="R105" s="144">
        <v>4244</v>
      </c>
      <c r="S105" s="144" t="s">
        <v>191</v>
      </c>
      <c r="U105" s="144" t="str">
        <f t="shared" si="18"/>
        <v>42</v>
      </c>
      <c r="V105" s="144" t="str">
        <f t="shared" si="17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43</v>
      </c>
      <c r="D106" s="149" t="str">
        <f t="shared" si="10"/>
        <v>Ostali prihodi za posebne namjene</v>
      </c>
      <c r="E106" s="154">
        <v>3299</v>
      </c>
      <c r="F106" s="149" t="str">
        <f t="shared" si="9"/>
        <v>Ostali nespomenuti rashodi poslovanja</v>
      </c>
      <c r="G106" s="201" t="s">
        <v>165</v>
      </c>
      <c r="H106" s="149" t="str">
        <f t="shared" si="11"/>
        <v>REDOVNA DJELATNOST SVEUČILIŠTA U ZAGREBU (IZ EVIDENCIJSKIH PRIHODA)</v>
      </c>
      <c r="I106" s="198">
        <v>58800</v>
      </c>
      <c r="J106" s="198">
        <v>60105.36</v>
      </c>
      <c r="K106" s="198">
        <v>60658.329312000009</v>
      </c>
      <c r="M106" s="144" t="str">
        <f t="shared" si="12"/>
        <v>329</v>
      </c>
      <c r="N106" s="144" t="str">
        <f t="shared" si="13"/>
        <v>32</v>
      </c>
      <c r="R106" s="144">
        <v>4251</v>
      </c>
      <c r="S106" s="144" t="s">
        <v>183</v>
      </c>
      <c r="U106" s="144" t="str">
        <f t="shared" si="18"/>
        <v>42</v>
      </c>
      <c r="V106" s="144" t="str">
        <f t="shared" si="17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43</v>
      </c>
      <c r="D107" s="149" t="str">
        <f t="shared" si="10"/>
        <v>Ostali prihodi za posebne namjene</v>
      </c>
      <c r="E107" s="154">
        <v>3431</v>
      </c>
      <c r="F107" s="149" t="str">
        <f t="shared" si="9"/>
        <v>Bankarske usluge i usluge platnog prometa</v>
      </c>
      <c r="G107" s="201" t="s">
        <v>165</v>
      </c>
      <c r="H107" s="149" t="str">
        <f t="shared" si="11"/>
        <v>REDOVNA DJELATNOST SVEUČILIŠTA U ZAGREBU (IZ EVIDENCIJSKIH PRIHODA)</v>
      </c>
      <c r="I107" s="198">
        <v>7200</v>
      </c>
      <c r="J107" s="198">
        <v>7359.84</v>
      </c>
      <c r="K107" s="198">
        <v>7427.5505280000007</v>
      </c>
      <c r="M107" s="144" t="str">
        <f t="shared" si="12"/>
        <v>343</v>
      </c>
      <c r="N107" s="144" t="str">
        <f t="shared" si="13"/>
        <v>34</v>
      </c>
      <c r="R107" s="144">
        <v>4252</v>
      </c>
      <c r="S107" s="144" t="s">
        <v>184</v>
      </c>
      <c r="U107" s="144" t="str">
        <f t="shared" si="18"/>
        <v>42</v>
      </c>
      <c r="V107" s="144" t="str">
        <f t="shared" si="17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0"/>
        <v>Ostali prihodi za posebne namjene</v>
      </c>
      <c r="E108" s="154">
        <v>3432</v>
      </c>
      <c r="F108" s="149" t="str">
        <f t="shared" si="9"/>
        <v>Negativne tečajne razlike i razlike zbog primjene valutne kl</v>
      </c>
      <c r="G108" s="201" t="s">
        <v>165</v>
      </c>
      <c r="H108" s="149" t="str">
        <f t="shared" si="11"/>
        <v>REDOVNA DJELATNOST SVEUČILIŠTA U ZAGREBU (IZ EVIDENCIJSKIH PRIHODA)</v>
      </c>
      <c r="I108" s="198">
        <v>1000</v>
      </c>
      <c r="J108" s="198">
        <v>1022.2</v>
      </c>
      <c r="K108" s="198">
        <v>1031.6042400000001</v>
      </c>
      <c r="M108" s="144" t="str">
        <f t="shared" si="12"/>
        <v>343</v>
      </c>
      <c r="N108" s="144" t="str">
        <f t="shared" si="13"/>
        <v>34</v>
      </c>
      <c r="R108" s="144">
        <v>4262</v>
      </c>
      <c r="S108" s="144" t="s">
        <v>127</v>
      </c>
      <c r="U108" s="144" t="str">
        <f t="shared" si="18"/>
        <v>42</v>
      </c>
      <c r="V108" s="144" t="str">
        <f t="shared" si="17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0"/>
        <v>Ostali prihodi za posebne namjene</v>
      </c>
      <c r="E109" s="154">
        <v>3433</v>
      </c>
      <c r="F109" s="149" t="str">
        <f t="shared" si="9"/>
        <v>Zatezne kamate</v>
      </c>
      <c r="G109" s="201" t="s">
        <v>165</v>
      </c>
      <c r="H109" s="149" t="str">
        <f t="shared" si="11"/>
        <v>REDOVNA DJELATNOST SVEUČILIŠTA U ZAGREBU (IZ EVIDENCIJSKIH PRIHODA)</v>
      </c>
      <c r="I109" s="198">
        <v>2000</v>
      </c>
      <c r="J109" s="198">
        <v>2044.4</v>
      </c>
      <c r="K109" s="198">
        <v>2063.2084800000002</v>
      </c>
      <c r="M109" s="144" t="str">
        <f t="shared" si="12"/>
        <v>343</v>
      </c>
      <c r="N109" s="144" t="str">
        <f t="shared" si="13"/>
        <v>34</v>
      </c>
      <c r="R109" s="144">
        <v>4263</v>
      </c>
      <c r="S109" s="144" t="s">
        <v>185</v>
      </c>
      <c r="U109" s="144" t="str">
        <f t="shared" si="18"/>
        <v>42</v>
      </c>
      <c r="V109" s="144" t="str">
        <f t="shared" si="17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43</v>
      </c>
      <c r="D110" s="149" t="str">
        <f t="shared" si="10"/>
        <v>Ostali prihodi za posebne namjene</v>
      </c>
      <c r="E110" s="154">
        <v>3721</v>
      </c>
      <c r="F110" s="149" t="str">
        <f t="shared" si="9"/>
        <v>Naknade građanima i kućanstvima u novcu</v>
      </c>
      <c r="G110" s="201" t="s">
        <v>165</v>
      </c>
      <c r="H110" s="149" t="str">
        <f t="shared" si="11"/>
        <v>REDOVNA DJELATNOST SVEUČILIŠTA U ZAGREBU (IZ EVIDENCIJSKIH PRIHODA)</v>
      </c>
      <c r="I110" s="198">
        <v>14000</v>
      </c>
      <c r="J110" s="198">
        <v>14310.8</v>
      </c>
      <c r="K110" s="198">
        <v>14442.459360000001</v>
      </c>
      <c r="M110" s="144" t="str">
        <f t="shared" si="12"/>
        <v>372</v>
      </c>
      <c r="N110" s="144" t="str">
        <f t="shared" si="13"/>
        <v>37</v>
      </c>
      <c r="R110" s="144">
        <v>4264</v>
      </c>
      <c r="S110" s="144" t="s">
        <v>139</v>
      </c>
      <c r="U110" s="144" t="str">
        <f t="shared" si="18"/>
        <v>42</v>
      </c>
      <c r="V110" s="144" t="str">
        <f t="shared" si="17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43</v>
      </c>
      <c r="D111" s="149" t="str">
        <f t="shared" si="10"/>
        <v>Ostali prihodi za posebne namjene</v>
      </c>
      <c r="E111" s="154">
        <v>4221</v>
      </c>
      <c r="F111" s="149" t="str">
        <f t="shared" si="9"/>
        <v>Uredska oprema i namještaj</v>
      </c>
      <c r="G111" s="201" t="s">
        <v>165</v>
      </c>
      <c r="H111" s="149" t="str">
        <f t="shared" si="11"/>
        <v>REDOVNA DJELATNOST SVEUČILIŠTA U ZAGREBU (IZ EVIDENCIJSKIH PRIHODA)</v>
      </c>
      <c r="I111" s="198">
        <v>45850</v>
      </c>
      <c r="J111" s="198">
        <v>46867.87</v>
      </c>
      <c r="K111" s="198">
        <v>47299.05440400001</v>
      </c>
      <c r="M111" s="144" t="str">
        <f t="shared" si="12"/>
        <v>422</v>
      </c>
      <c r="N111" s="144" t="str">
        <f t="shared" si="13"/>
        <v>42</v>
      </c>
      <c r="R111" s="144">
        <v>4312</v>
      </c>
      <c r="S111" s="144" t="s">
        <v>141</v>
      </c>
      <c r="U111" s="144" t="str">
        <f t="shared" si="18"/>
        <v>43</v>
      </c>
      <c r="V111" s="144" t="str">
        <f t="shared" si="17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43</v>
      </c>
      <c r="D112" s="149" t="str">
        <f t="shared" si="10"/>
        <v>Ostali prihodi za posebne namjene</v>
      </c>
      <c r="E112" s="154">
        <v>4222</v>
      </c>
      <c r="F112" s="149" t="str">
        <f t="shared" si="9"/>
        <v>Komunikacijska oprema</v>
      </c>
      <c r="G112" s="201" t="s">
        <v>165</v>
      </c>
      <c r="H112" s="149" t="str">
        <f t="shared" si="11"/>
        <v>REDOVNA DJELATNOST SVEUČILIŠTA U ZAGREBU (IZ EVIDENCIJSKIH PRIHODA)</v>
      </c>
      <c r="I112" s="198">
        <v>6850</v>
      </c>
      <c r="J112" s="198">
        <v>7002.07</v>
      </c>
      <c r="K112" s="198">
        <v>7066.4890440000008</v>
      </c>
      <c r="M112" s="144" t="str">
        <f t="shared" si="12"/>
        <v>422</v>
      </c>
      <c r="N112" s="144" t="str">
        <f t="shared" si="13"/>
        <v>42</v>
      </c>
      <c r="R112" s="144">
        <v>4411</v>
      </c>
      <c r="S112" s="144" t="s">
        <v>186</v>
      </c>
      <c r="U112" s="144" t="str">
        <f t="shared" si="18"/>
        <v>44</v>
      </c>
      <c r="V112" s="144" t="str">
        <f t="shared" si="17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43</v>
      </c>
      <c r="D113" s="149" t="str">
        <f t="shared" si="10"/>
        <v>Ostali prihodi za posebne namjene</v>
      </c>
      <c r="E113" s="154">
        <v>4223</v>
      </c>
      <c r="F113" s="149" t="str">
        <f t="shared" si="9"/>
        <v>Oprema za održavanje i zaštitu</v>
      </c>
      <c r="G113" s="201" t="s">
        <v>165</v>
      </c>
      <c r="H113" s="149" t="str">
        <f t="shared" si="11"/>
        <v>REDOVNA DJELATNOST SVEUČILIŠTA U ZAGREBU (IZ EVIDENCIJSKIH PRIHODA)</v>
      </c>
      <c r="I113" s="198">
        <v>14990</v>
      </c>
      <c r="J113" s="198">
        <v>15322.778</v>
      </c>
      <c r="K113" s="198">
        <v>15463.747557600002</v>
      </c>
      <c r="M113" s="144" t="str">
        <f t="shared" si="12"/>
        <v>422</v>
      </c>
      <c r="N113" s="144" t="str">
        <f t="shared" si="13"/>
        <v>42</v>
      </c>
      <c r="R113" s="144">
        <v>4511</v>
      </c>
      <c r="S113" s="144" t="s">
        <v>140</v>
      </c>
      <c r="U113" s="144" t="str">
        <f t="shared" si="18"/>
        <v>45</v>
      </c>
      <c r="V113" s="144" t="str">
        <f t="shared" si="17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43</v>
      </c>
      <c r="D114" s="149" t="str">
        <f t="shared" si="10"/>
        <v>Ostali prihodi za posebne namjene</v>
      </c>
      <c r="E114" s="154">
        <v>4224</v>
      </c>
      <c r="F114" s="149" t="str">
        <f t="shared" si="9"/>
        <v>Medicinska i laboratorijska oprema</v>
      </c>
      <c r="G114" s="201" t="s">
        <v>165</v>
      </c>
      <c r="H114" s="149" t="str">
        <f t="shared" si="11"/>
        <v>REDOVNA DJELATNOST SVEUČILIŠTA U ZAGREBU (IZ EVIDENCIJSKIH PRIHODA)</v>
      </c>
      <c r="I114" s="198">
        <v>761550</v>
      </c>
      <c r="J114" s="198">
        <v>778456.41</v>
      </c>
      <c r="K114" s="198">
        <v>785618.20897200005</v>
      </c>
      <c r="M114" s="144" t="str">
        <f t="shared" si="12"/>
        <v>422</v>
      </c>
      <c r="N114" s="144" t="str">
        <f t="shared" si="13"/>
        <v>42</v>
      </c>
      <c r="R114" s="144">
        <v>4521</v>
      </c>
      <c r="S114" s="144" t="s">
        <v>160</v>
      </c>
      <c r="U114" s="144" t="str">
        <f t="shared" si="18"/>
        <v>45</v>
      </c>
      <c r="V114" s="144" t="str">
        <f t="shared" si="17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43</v>
      </c>
      <c r="D115" s="149" t="str">
        <f t="shared" si="10"/>
        <v>Ostali prihodi za posebne namjene</v>
      </c>
      <c r="E115" s="154">
        <v>4225</v>
      </c>
      <c r="F115" s="149" t="str">
        <f t="shared" si="9"/>
        <v>Instrumenti, uređaji i strojevi</v>
      </c>
      <c r="G115" s="201" t="s">
        <v>165</v>
      </c>
      <c r="H115" s="149" t="str">
        <f t="shared" si="11"/>
        <v>REDOVNA DJELATNOST SVEUČILIŠTA U ZAGREBU (IZ EVIDENCIJSKIH PRIHODA)</v>
      </c>
      <c r="I115" s="198">
        <v>352260</v>
      </c>
      <c r="J115" s="198">
        <v>360080.17200000002</v>
      </c>
      <c r="K115" s="198">
        <v>363392.90958240005</v>
      </c>
      <c r="M115" s="144" t="str">
        <f t="shared" si="12"/>
        <v>422</v>
      </c>
      <c r="N115" s="144" t="str">
        <f t="shared" si="13"/>
        <v>42</v>
      </c>
      <c r="R115" s="144">
        <v>4531</v>
      </c>
      <c r="S115" s="144" t="s">
        <v>203</v>
      </c>
      <c r="U115" s="144" t="str">
        <f t="shared" si="18"/>
        <v>45</v>
      </c>
      <c r="V115" s="144" t="str">
        <f t="shared" si="17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43</v>
      </c>
      <c r="D116" s="149" t="str">
        <f t="shared" si="10"/>
        <v>Ostali prihodi za posebne namjene</v>
      </c>
      <c r="E116" s="154">
        <v>4521</v>
      </c>
      <c r="F116" s="149" t="str">
        <f t="shared" si="9"/>
        <v>Dodatna ulaganja na postrojenjima i opremi</v>
      </c>
      <c r="G116" s="201" t="s">
        <v>165</v>
      </c>
      <c r="H116" s="149" t="str">
        <f t="shared" si="11"/>
        <v>REDOVNA DJELATNOST SVEUČILIŠTA U ZAGREBU (IZ EVIDENCIJSKIH PRIHODA)</v>
      </c>
      <c r="I116" s="198">
        <v>158700</v>
      </c>
      <c r="J116" s="198">
        <v>162223.14000000001</v>
      </c>
      <c r="K116" s="198">
        <v>163715.59288800004</v>
      </c>
      <c r="M116" s="144" t="str">
        <f t="shared" si="12"/>
        <v>452</v>
      </c>
      <c r="N116" s="144" t="str">
        <f t="shared" si="13"/>
        <v>45</v>
      </c>
      <c r="R116" s="144">
        <v>4541</v>
      </c>
      <c r="S116" s="144" t="s">
        <v>155</v>
      </c>
      <c r="U116" s="144" t="str">
        <f t="shared" si="18"/>
        <v>45</v>
      </c>
      <c r="V116" s="144" t="str">
        <f t="shared" si="17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52</v>
      </c>
      <c r="D117" s="149" t="str">
        <f t="shared" si="10"/>
        <v>Ostale pomoći</v>
      </c>
      <c r="E117" s="154">
        <v>3111</v>
      </c>
      <c r="F117" s="149" t="str">
        <f t="shared" si="9"/>
        <v>Plaće za redovan rad</v>
      </c>
      <c r="G117" s="201" t="s">
        <v>165</v>
      </c>
      <c r="H117" s="149" t="str">
        <f t="shared" si="11"/>
        <v>REDOVNA DJELATNOST SVEUČILIŠTA U ZAGREBU (IZ EVIDENCIJSKIH PRIHODA)</v>
      </c>
      <c r="I117" s="198">
        <v>767102</v>
      </c>
      <c r="J117" s="198">
        <v>835131.42</v>
      </c>
      <c r="K117" s="198">
        <v>842052.86906399997</v>
      </c>
      <c r="M117" s="144" t="str">
        <f t="shared" si="12"/>
        <v>311</v>
      </c>
      <c r="N117" s="144" t="str">
        <f t="shared" si="13"/>
        <v>31</v>
      </c>
      <c r="R117" s="144">
        <v>5121</v>
      </c>
      <c r="S117" s="144" t="s">
        <v>211</v>
      </c>
      <c r="U117" s="144" t="str">
        <f t="shared" si="18"/>
        <v>51</v>
      </c>
      <c r="V117" s="144" t="str">
        <f t="shared" si="17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52</v>
      </c>
      <c r="D118" s="149" t="str">
        <f t="shared" si="10"/>
        <v>Ostale pomoći</v>
      </c>
      <c r="E118" s="154">
        <v>3121</v>
      </c>
      <c r="F118" s="149" t="str">
        <f t="shared" si="9"/>
        <v>Ostali rashodi za zaposlene</v>
      </c>
      <c r="G118" s="201" t="s">
        <v>165</v>
      </c>
      <c r="H118" s="149" t="str">
        <f t="shared" si="11"/>
        <v>REDOVNA DJELATNOST SVEUČILIŠTA U ZAGREBU (IZ EVIDENCIJSKIH PRIHODA)</v>
      </c>
      <c r="I118" s="198">
        <v>31300</v>
      </c>
      <c r="J118" s="198">
        <v>34494.86</v>
      </c>
      <c r="K118" s="198">
        <v>34812.212712000008</v>
      </c>
      <c r="M118" s="144" t="str">
        <f t="shared" si="12"/>
        <v>312</v>
      </c>
      <c r="N118" s="144" t="str">
        <f t="shared" si="13"/>
        <v>31</v>
      </c>
      <c r="R118" s="144">
        <v>5443</v>
      </c>
      <c r="S118" s="144" t="s">
        <v>187</v>
      </c>
      <c r="U118" s="144" t="str">
        <f t="shared" si="18"/>
        <v>54</v>
      </c>
      <c r="V118" s="144" t="str">
        <f t="shared" si="17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52</v>
      </c>
      <c r="D119" s="149" t="str">
        <f t="shared" si="10"/>
        <v>Ostale pomoći</v>
      </c>
      <c r="E119" s="154">
        <v>3132</v>
      </c>
      <c r="F119" s="149" t="str">
        <f t="shared" si="9"/>
        <v>Doprinosi za obvezno zdravstveno osiguranje</v>
      </c>
      <c r="G119" s="201" t="s">
        <v>165</v>
      </c>
      <c r="H119" s="149" t="str">
        <f t="shared" si="11"/>
        <v>REDOVNA DJELATNOST SVEUČILIŠTA U ZAGREBU (IZ EVIDENCIJSKIH PRIHODA)</v>
      </c>
      <c r="I119" s="198">
        <v>113200</v>
      </c>
      <c r="J119" s="198">
        <v>124128.04</v>
      </c>
      <c r="K119" s="198">
        <v>125270.01796800001</v>
      </c>
      <c r="M119" s="144" t="str">
        <f t="shared" si="12"/>
        <v>313</v>
      </c>
      <c r="N119" s="144" t="str">
        <f t="shared" si="13"/>
        <v>31</v>
      </c>
      <c r="R119" s="144">
        <v>5121</v>
      </c>
      <c r="S119" s="144" t="s">
        <v>819</v>
      </c>
      <c r="U119" s="144" t="str">
        <f t="shared" si="18"/>
        <v>51</v>
      </c>
      <c r="V119" s="144" t="str">
        <f t="shared" ref="V119:V129" si="19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52</v>
      </c>
      <c r="D120" s="149" t="str">
        <f t="shared" si="10"/>
        <v>Ostale pomoći</v>
      </c>
      <c r="E120" s="154">
        <v>3211</v>
      </c>
      <c r="F120" s="149" t="str">
        <f t="shared" si="9"/>
        <v>Službena putovanja</v>
      </c>
      <c r="G120" s="201" t="s">
        <v>165</v>
      </c>
      <c r="H120" s="149" t="str">
        <f t="shared" si="11"/>
        <v>REDOVNA DJELATNOST SVEUČILIŠTA U ZAGREBU (IZ EVIDENCIJSKIH PRIHODA)</v>
      </c>
      <c r="I120" s="198">
        <v>124400</v>
      </c>
      <c r="J120" s="198">
        <v>145161.68</v>
      </c>
      <c r="K120" s="198">
        <v>146497.167456</v>
      </c>
      <c r="M120" s="144" t="str">
        <f t="shared" si="12"/>
        <v>321</v>
      </c>
      <c r="N120" s="144" t="str">
        <f t="shared" si="13"/>
        <v>32</v>
      </c>
      <c r="R120" s="144">
        <v>5122</v>
      </c>
      <c r="S120" s="144" t="s">
        <v>820</v>
      </c>
      <c r="U120" s="144" t="str">
        <f t="shared" si="18"/>
        <v>51</v>
      </c>
      <c r="V120" s="144" t="str">
        <f t="shared" si="19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52</v>
      </c>
      <c r="D121" s="149" t="str">
        <f t="shared" si="10"/>
        <v>Ostale pomoći</v>
      </c>
      <c r="E121" s="154">
        <v>3212</v>
      </c>
      <c r="F121" s="149" t="str">
        <f t="shared" si="9"/>
        <v>Naknade za prijevoz, za rad na terenu i odvojeni život</v>
      </c>
      <c r="G121" s="201" t="s">
        <v>165</v>
      </c>
      <c r="H121" s="149" t="str">
        <f t="shared" si="11"/>
        <v>REDOVNA DJELATNOST SVEUČILIŠTA U ZAGREBU (IZ EVIDENCIJSKIH PRIHODA)</v>
      </c>
      <c r="I121" s="198">
        <v>28150</v>
      </c>
      <c r="J121" s="198">
        <v>34609.93</v>
      </c>
      <c r="K121" s="198">
        <v>34929</v>
      </c>
      <c r="M121" s="144" t="str">
        <f t="shared" si="12"/>
        <v>321</v>
      </c>
      <c r="N121" s="144" t="str">
        <f t="shared" si="13"/>
        <v>32</v>
      </c>
      <c r="R121" s="144">
        <v>5141</v>
      </c>
      <c r="S121" s="144" t="s">
        <v>821</v>
      </c>
      <c r="U121" s="144" t="str">
        <f t="shared" si="18"/>
        <v>51</v>
      </c>
      <c r="V121" s="144" t="str">
        <f t="shared" si="19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52</v>
      </c>
      <c r="D122" s="149" t="str">
        <f t="shared" si="10"/>
        <v>Ostale pomoći</v>
      </c>
      <c r="E122" s="154">
        <v>3213</v>
      </c>
      <c r="F122" s="149" t="str">
        <f t="shared" si="9"/>
        <v>Stručno usavršavanje zaposlenika</v>
      </c>
      <c r="G122" s="201" t="s">
        <v>165</v>
      </c>
      <c r="H122" s="149" t="str">
        <f t="shared" si="11"/>
        <v>REDOVNA DJELATNOST SVEUČILIŠTA U ZAGREBU (IZ EVIDENCIJSKIH PRIHODA)</v>
      </c>
      <c r="I122" s="198">
        <v>69850</v>
      </c>
      <c r="J122" s="198">
        <v>80688.67</v>
      </c>
      <c r="K122" s="198">
        <v>81431</v>
      </c>
      <c r="M122" s="144" t="str">
        <f t="shared" si="12"/>
        <v>321</v>
      </c>
      <c r="N122" s="144" t="str">
        <f t="shared" si="13"/>
        <v>32</v>
      </c>
      <c r="R122" s="144">
        <v>5181</v>
      </c>
      <c r="S122" s="144" t="s">
        <v>822</v>
      </c>
      <c r="U122" s="144" t="str">
        <f t="shared" si="18"/>
        <v>51</v>
      </c>
      <c r="V122" s="144" t="str">
        <f t="shared" si="19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52</v>
      </c>
      <c r="D123" s="149" t="str">
        <f t="shared" si="10"/>
        <v>Ostale pomoći</v>
      </c>
      <c r="E123" s="154">
        <v>3214</v>
      </c>
      <c r="F123" s="149" t="str">
        <f t="shared" si="9"/>
        <v>Ostale naknade troškova zaposlenima</v>
      </c>
      <c r="G123" s="201" t="s">
        <v>165</v>
      </c>
      <c r="H123" s="149" t="str">
        <f t="shared" si="11"/>
        <v>REDOVNA DJELATNOST SVEUČILIŠTA U ZAGREBU (IZ EVIDENCIJSKIH PRIHODA)</v>
      </c>
      <c r="I123" s="198">
        <v>3000</v>
      </c>
      <c r="J123" s="198">
        <v>3066.6</v>
      </c>
      <c r="K123" s="198">
        <v>3094.8127200000004</v>
      </c>
      <c r="M123" s="144" t="str">
        <f t="shared" si="12"/>
        <v>321</v>
      </c>
      <c r="N123" s="144" t="str">
        <f t="shared" si="13"/>
        <v>32</v>
      </c>
      <c r="R123" s="144">
        <v>5183</v>
      </c>
      <c r="S123" s="144" t="s">
        <v>823</v>
      </c>
      <c r="U123" s="144" t="str">
        <f t="shared" si="18"/>
        <v>51</v>
      </c>
      <c r="V123" s="144" t="str">
        <f t="shared" si="19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52</v>
      </c>
      <c r="D124" s="149" t="str">
        <f t="shared" si="10"/>
        <v>Ostale pomoći</v>
      </c>
      <c r="E124" s="154">
        <v>3221</v>
      </c>
      <c r="F124" s="149" t="str">
        <f t="shared" si="9"/>
        <v>Uredski materijal i ostali materijalni rashodi</v>
      </c>
      <c r="G124" s="201" t="s">
        <v>165</v>
      </c>
      <c r="H124" s="149" t="str">
        <f t="shared" si="11"/>
        <v>REDOVNA DJELATNOST SVEUČILIŠTA U ZAGREBU (IZ EVIDENCIJSKIH PRIHODA)</v>
      </c>
      <c r="I124" s="198">
        <v>80710</v>
      </c>
      <c r="J124" s="198">
        <v>82501.762000000002</v>
      </c>
      <c r="K124" s="198">
        <v>83260.778210400007</v>
      </c>
      <c r="M124" s="144" t="str">
        <f t="shared" si="12"/>
        <v>322</v>
      </c>
      <c r="N124" s="144" t="str">
        <f t="shared" si="13"/>
        <v>32</v>
      </c>
      <c r="R124" s="144">
        <v>5422</v>
      </c>
      <c r="S124" s="144" t="s">
        <v>824</v>
      </c>
      <c r="U124" s="144" t="str">
        <f t="shared" si="18"/>
        <v>54</v>
      </c>
      <c r="V124" s="144" t="str">
        <f t="shared" si="19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52</v>
      </c>
      <c r="D125" s="149" t="str">
        <f t="shared" si="10"/>
        <v>Ostale pomoći</v>
      </c>
      <c r="E125" s="154">
        <v>3222</v>
      </c>
      <c r="F125" s="149" t="str">
        <f t="shared" si="9"/>
        <v>Materijal i sirovine</v>
      </c>
      <c r="G125" s="201" t="s">
        <v>165</v>
      </c>
      <c r="H125" s="149" t="str">
        <f t="shared" si="11"/>
        <v>REDOVNA DJELATNOST SVEUČILIŠTA U ZAGREBU (IZ EVIDENCIJSKIH PRIHODA)</v>
      </c>
      <c r="I125" s="198">
        <v>1388000</v>
      </c>
      <c r="J125" s="198">
        <v>1418813.6</v>
      </c>
      <c r="K125" s="198">
        <v>1431866.6851200003</v>
      </c>
      <c r="M125" s="144" t="str">
        <f t="shared" si="12"/>
        <v>322</v>
      </c>
      <c r="N125" s="144" t="str">
        <f t="shared" si="13"/>
        <v>32</v>
      </c>
      <c r="R125" s="144">
        <v>5431</v>
      </c>
      <c r="S125" s="144" t="s">
        <v>389</v>
      </c>
      <c r="U125" s="144" t="str">
        <f t="shared" si="18"/>
        <v>54</v>
      </c>
      <c r="V125" s="144" t="str">
        <f t="shared" si="19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52</v>
      </c>
      <c r="D126" s="149" t="str">
        <f t="shared" si="10"/>
        <v>Ostale pomoći</v>
      </c>
      <c r="E126" s="154">
        <v>3223</v>
      </c>
      <c r="F126" s="149" t="str">
        <f t="shared" si="9"/>
        <v>Energija</v>
      </c>
      <c r="G126" s="201" t="s">
        <v>165</v>
      </c>
      <c r="H126" s="149" t="str">
        <f t="shared" si="11"/>
        <v>REDOVNA DJELATNOST SVEUČILIŠTA U ZAGREBU (IZ EVIDENCIJSKIH PRIHODA)</v>
      </c>
      <c r="I126" s="198">
        <v>92000</v>
      </c>
      <c r="J126" s="198">
        <v>94042.4</v>
      </c>
      <c r="K126" s="198">
        <v>94907.590080000009</v>
      </c>
      <c r="M126" s="144" t="str">
        <f t="shared" si="12"/>
        <v>322</v>
      </c>
      <c r="N126" s="144" t="str">
        <f t="shared" si="13"/>
        <v>32</v>
      </c>
      <c r="R126" s="144">
        <v>5443</v>
      </c>
      <c r="S126" s="144" t="s">
        <v>825</v>
      </c>
      <c r="U126" s="144" t="str">
        <f t="shared" si="18"/>
        <v>54</v>
      </c>
      <c r="V126" s="144" t="str">
        <f t="shared" si="19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52</v>
      </c>
      <c r="D127" s="149" t="str">
        <f t="shared" si="10"/>
        <v>Ostale pomoći</v>
      </c>
      <c r="E127" s="154">
        <v>3224</v>
      </c>
      <c r="F127" s="149" t="str">
        <f t="shared" si="9"/>
        <v>Materijal i dijelovi za tekuće i investicijsko održavanje</v>
      </c>
      <c r="G127" s="201" t="s">
        <v>165</v>
      </c>
      <c r="H127" s="149" t="str">
        <f t="shared" si="11"/>
        <v>REDOVNA DJELATNOST SVEUČILIŠTA U ZAGREBU (IZ EVIDENCIJSKIH PRIHODA)</v>
      </c>
      <c r="I127" s="198">
        <v>47900</v>
      </c>
      <c r="J127" s="198">
        <v>48963.38</v>
      </c>
      <c r="K127" s="198">
        <v>49413.843096000004</v>
      </c>
      <c r="M127" s="144" t="str">
        <f t="shared" si="12"/>
        <v>322</v>
      </c>
      <c r="N127" s="144" t="str">
        <f t="shared" si="13"/>
        <v>32</v>
      </c>
      <c r="R127" s="144">
        <v>5445</v>
      </c>
      <c r="S127" s="144" t="s">
        <v>826</v>
      </c>
      <c r="U127" s="144" t="str">
        <f t="shared" si="18"/>
        <v>54</v>
      </c>
      <c r="V127" s="144" t="str">
        <f t="shared" si="19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52</v>
      </c>
      <c r="D128" s="149" t="str">
        <f t="shared" si="10"/>
        <v>Ostale pomoći</v>
      </c>
      <c r="E128" s="154">
        <v>3225</v>
      </c>
      <c r="F128" s="149" t="str">
        <f t="shared" si="9"/>
        <v>Sitni inventar i auto gume</v>
      </c>
      <c r="G128" s="201" t="s">
        <v>165</v>
      </c>
      <c r="H128" s="149" t="str">
        <f t="shared" si="11"/>
        <v>REDOVNA DJELATNOST SVEUČILIŠTA U ZAGREBU (IZ EVIDENCIJSKIH PRIHODA)</v>
      </c>
      <c r="I128" s="198">
        <v>69200</v>
      </c>
      <c r="J128" s="198">
        <v>70736.240000000005</v>
      </c>
      <c r="K128" s="198">
        <v>71387.013408000013</v>
      </c>
      <c r="M128" s="144" t="str">
        <f t="shared" si="12"/>
        <v>322</v>
      </c>
      <c r="N128" s="144" t="str">
        <f t="shared" si="13"/>
        <v>32</v>
      </c>
      <c r="R128" s="144">
        <v>5453</v>
      </c>
      <c r="S128" s="144" t="s">
        <v>827</v>
      </c>
      <c r="U128" s="144" t="str">
        <f t="shared" si="18"/>
        <v>54</v>
      </c>
      <c r="V128" s="144" t="str">
        <f t="shared" si="19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52</v>
      </c>
      <c r="D129" s="149" t="str">
        <f t="shared" si="10"/>
        <v>Ostale pomoći</v>
      </c>
      <c r="E129" s="154">
        <v>3227</v>
      </c>
      <c r="F129" s="149" t="str">
        <f t="shared" si="9"/>
        <v>Službena, radna i zaštitna odjeća i obuća</v>
      </c>
      <c r="G129" s="201" t="s">
        <v>165</v>
      </c>
      <c r="H129" s="149" t="str">
        <f t="shared" si="11"/>
        <v>REDOVNA DJELATNOST SVEUČILIŠTA U ZAGREBU (IZ EVIDENCIJSKIH PRIHODA)</v>
      </c>
      <c r="I129" s="198">
        <v>7500</v>
      </c>
      <c r="J129" s="198">
        <v>7666.5</v>
      </c>
      <c r="K129" s="198">
        <v>7737.0318000000007</v>
      </c>
      <c r="M129" s="144" t="str">
        <f t="shared" si="12"/>
        <v>322</v>
      </c>
      <c r="N129" s="144" t="str">
        <f t="shared" si="13"/>
        <v>32</v>
      </c>
      <c r="R129" s="144">
        <v>5472</v>
      </c>
      <c r="S129" s="144" t="s">
        <v>828</v>
      </c>
      <c r="U129" s="144" t="str">
        <f t="shared" si="18"/>
        <v>54</v>
      </c>
      <c r="V129" s="144" t="str">
        <f t="shared" si="19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52</v>
      </c>
      <c r="D130" s="149" t="str">
        <f t="shared" si="10"/>
        <v>Ostale pomoći</v>
      </c>
      <c r="E130" s="154">
        <v>3231</v>
      </c>
      <c r="F130" s="149" t="str">
        <f t="shared" si="9"/>
        <v>Usluge telefona, pošte i prijevoza</v>
      </c>
      <c r="G130" s="201" t="s">
        <v>165</v>
      </c>
      <c r="H130" s="149" t="str">
        <f t="shared" si="11"/>
        <v>REDOVNA DJELATNOST SVEUČILIŠTA U ZAGREBU (IZ EVIDENCIJSKIH PRIHODA)</v>
      </c>
      <c r="I130" s="198">
        <v>5200</v>
      </c>
      <c r="J130" s="198">
        <v>5315.44</v>
      </c>
      <c r="K130" s="198">
        <v>5364.3420480000004</v>
      </c>
      <c r="M130" s="144" t="str">
        <f t="shared" si="12"/>
        <v>323</v>
      </c>
      <c r="N130" s="144" t="str">
        <f t="shared" si="13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52</v>
      </c>
      <c r="D131" s="149" t="str">
        <f t="shared" si="10"/>
        <v>Ostale pomoći</v>
      </c>
      <c r="E131" s="154">
        <v>3232</v>
      </c>
      <c r="F131" s="149" t="str">
        <f t="shared" ref="F131:F194" si="20">IFERROR(VLOOKUP(E131,$R$5:$T$129,2,FALSE),"")</f>
        <v>Usluge tekućeg i investicijskog održavanja</v>
      </c>
      <c r="G131" s="201" t="s">
        <v>165</v>
      </c>
      <c r="H131" s="149" t="str">
        <f t="shared" si="11"/>
        <v>REDOVNA DJELATNOST SVEUČILIŠTA U ZAGREBU (IZ EVIDENCIJSKIH PRIHODA)</v>
      </c>
      <c r="I131" s="198">
        <v>478100</v>
      </c>
      <c r="J131" s="198">
        <v>488713.82</v>
      </c>
      <c r="K131" s="198">
        <v>493209.98714400007</v>
      </c>
      <c r="M131" s="144" t="str">
        <f t="shared" si="12"/>
        <v>323</v>
      </c>
      <c r="N131" s="144" t="str">
        <f t="shared" si="13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52</v>
      </c>
      <c r="D132" s="149" t="str">
        <f t="shared" ref="D132:D195" si="21">IFERROR(VLOOKUP(C132,$O$6:$P$16,2,FALSE),"")</f>
        <v>Ostale pomoći</v>
      </c>
      <c r="E132" s="154">
        <v>3233</v>
      </c>
      <c r="F132" s="149" t="str">
        <f t="shared" si="20"/>
        <v>Usluge promidžbe i informiranja</v>
      </c>
      <c r="G132" s="201" t="s">
        <v>165</v>
      </c>
      <c r="H132" s="149" t="str">
        <f t="shared" ref="H132:H195" si="22">IFERROR(VLOOKUP(G132,$X$6:$Y$50,2,FALSE),"")</f>
        <v>REDOVNA DJELATNOST SVEUČILIŠTA U ZAGREBU (IZ EVIDENCIJSKIH PRIHODA)</v>
      </c>
      <c r="I132" s="198">
        <v>61900</v>
      </c>
      <c r="J132" s="198">
        <v>63274.18</v>
      </c>
      <c r="K132" s="198">
        <v>63856.302456000005</v>
      </c>
      <c r="M132" s="144" t="str">
        <f t="shared" ref="M132:M195" si="23">LEFT(E132,3)</f>
        <v>323</v>
      </c>
      <c r="N132" s="144" t="str">
        <f t="shared" ref="N132:N195" si="24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52</v>
      </c>
      <c r="D133" s="149" t="str">
        <f t="shared" si="21"/>
        <v>Ostale pomoći</v>
      </c>
      <c r="E133" s="154">
        <v>3234</v>
      </c>
      <c r="F133" s="149" t="str">
        <f t="shared" si="20"/>
        <v>Komunalne usluge</v>
      </c>
      <c r="G133" s="201" t="s">
        <v>165</v>
      </c>
      <c r="H133" s="149" t="str">
        <f t="shared" si="22"/>
        <v>REDOVNA DJELATNOST SVEUČILIŠTA U ZAGREBU (IZ EVIDENCIJSKIH PRIHODA)</v>
      </c>
      <c r="I133" s="198">
        <v>11500</v>
      </c>
      <c r="J133" s="198">
        <v>11755.3</v>
      </c>
      <c r="K133" s="198">
        <v>11863.448760000001</v>
      </c>
      <c r="M133" s="144" t="str">
        <f t="shared" si="23"/>
        <v>323</v>
      </c>
      <c r="N133" s="144" t="str">
        <f t="shared" si="24"/>
        <v>32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52</v>
      </c>
      <c r="D134" s="149" t="str">
        <f t="shared" si="21"/>
        <v>Ostale pomoći</v>
      </c>
      <c r="E134" s="154">
        <v>3235</v>
      </c>
      <c r="F134" s="149" t="str">
        <f t="shared" si="20"/>
        <v>Zakupnine i najamnine</v>
      </c>
      <c r="G134" s="201" t="s">
        <v>165</v>
      </c>
      <c r="H134" s="149" t="str">
        <f t="shared" si="22"/>
        <v>REDOVNA DJELATNOST SVEUČILIŠTA U ZAGREBU (IZ EVIDENCIJSKIH PRIHODA)</v>
      </c>
      <c r="I134" s="198">
        <v>59190</v>
      </c>
      <c r="J134" s="198">
        <v>60504.017999999996</v>
      </c>
      <c r="K134" s="198">
        <v>61060.654965599999</v>
      </c>
      <c r="M134" s="144" t="str">
        <f t="shared" si="23"/>
        <v>323</v>
      </c>
      <c r="N134" s="144" t="str">
        <f t="shared" si="24"/>
        <v>32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52</v>
      </c>
      <c r="D135" s="149" t="str">
        <f t="shared" si="21"/>
        <v>Ostale pomoći</v>
      </c>
      <c r="E135" s="154">
        <v>3236</v>
      </c>
      <c r="F135" s="149" t="str">
        <f t="shared" si="20"/>
        <v>Zdravstvene i veterinarske usluge</v>
      </c>
      <c r="G135" s="201" t="s">
        <v>165</v>
      </c>
      <c r="H135" s="149" t="str">
        <f t="shared" si="22"/>
        <v>REDOVNA DJELATNOST SVEUČILIŠTA U ZAGREBU (IZ EVIDENCIJSKIH PRIHODA)</v>
      </c>
      <c r="I135" s="198">
        <v>41475</v>
      </c>
      <c r="J135" s="198">
        <v>42395.745000000003</v>
      </c>
      <c r="K135" s="198">
        <v>42785.785854000009</v>
      </c>
      <c r="M135" s="144" t="str">
        <f t="shared" si="23"/>
        <v>323</v>
      </c>
      <c r="N135" s="144" t="str">
        <f t="shared" si="24"/>
        <v>32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52</v>
      </c>
      <c r="D136" s="149" t="str">
        <f t="shared" si="21"/>
        <v>Ostale pomoći</v>
      </c>
      <c r="E136" s="154">
        <v>3237</v>
      </c>
      <c r="F136" s="149" t="str">
        <f t="shared" si="20"/>
        <v>Intelektualne i osobne usluge</v>
      </c>
      <c r="G136" s="201" t="s">
        <v>165</v>
      </c>
      <c r="H136" s="149" t="str">
        <f t="shared" si="22"/>
        <v>REDOVNA DJELATNOST SVEUČILIŠTA U ZAGREBU (IZ EVIDENCIJSKIH PRIHODA)</v>
      </c>
      <c r="I136" s="198">
        <v>85250</v>
      </c>
      <c r="J136" s="198">
        <v>87142.55</v>
      </c>
      <c r="K136" s="198">
        <v>87944.261460000009</v>
      </c>
      <c r="M136" s="144" t="str">
        <f t="shared" si="23"/>
        <v>323</v>
      </c>
      <c r="N136" s="144" t="str">
        <f t="shared" si="24"/>
        <v>32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52</v>
      </c>
      <c r="D137" s="149" t="str">
        <f t="shared" si="21"/>
        <v>Ostale pomoći</v>
      </c>
      <c r="E137" s="154">
        <v>3238</v>
      </c>
      <c r="F137" s="149" t="str">
        <f t="shared" si="20"/>
        <v>Računalne usluge</v>
      </c>
      <c r="G137" s="201" t="s">
        <v>165</v>
      </c>
      <c r="H137" s="149" t="str">
        <f t="shared" si="22"/>
        <v>REDOVNA DJELATNOST SVEUČILIŠTA U ZAGREBU (IZ EVIDENCIJSKIH PRIHODA)</v>
      </c>
      <c r="I137" s="198">
        <v>25120</v>
      </c>
      <c r="J137" s="198">
        <v>25677.664000000001</v>
      </c>
      <c r="K137" s="198">
        <v>25913.898508800004</v>
      </c>
      <c r="M137" s="144" t="str">
        <f t="shared" si="23"/>
        <v>323</v>
      </c>
      <c r="N137" s="144" t="str">
        <f t="shared" si="24"/>
        <v>32</v>
      </c>
    </row>
    <row r="138" spans="1:22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52</v>
      </c>
      <c r="D138" s="149" t="str">
        <f t="shared" si="21"/>
        <v>Ostale pomoći</v>
      </c>
      <c r="E138" s="154">
        <v>3239</v>
      </c>
      <c r="F138" s="149" t="str">
        <f t="shared" si="20"/>
        <v>Ostale usluge</v>
      </c>
      <c r="G138" s="201" t="s">
        <v>165</v>
      </c>
      <c r="H138" s="149" t="str">
        <f t="shared" si="22"/>
        <v>REDOVNA DJELATNOST SVEUČILIŠTA U ZAGREBU (IZ EVIDENCIJSKIH PRIHODA)</v>
      </c>
      <c r="I138" s="198">
        <v>38930</v>
      </c>
      <c r="J138" s="198">
        <v>39794.245999999999</v>
      </c>
      <c r="K138" s="198">
        <v>40160.353063200004</v>
      </c>
      <c r="M138" s="144" t="str">
        <f t="shared" si="23"/>
        <v>323</v>
      </c>
      <c r="N138" s="144" t="str">
        <f t="shared" si="24"/>
        <v>32</v>
      </c>
    </row>
    <row r="139" spans="1:22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52</v>
      </c>
      <c r="D139" s="149" t="str">
        <f t="shared" si="21"/>
        <v>Ostale pomoći</v>
      </c>
      <c r="E139" s="154">
        <v>3241</v>
      </c>
      <c r="F139" s="149" t="str">
        <f t="shared" si="20"/>
        <v>Naknade troškova osobama izvan radnog odnosa</v>
      </c>
      <c r="G139" s="201" t="s">
        <v>165</v>
      </c>
      <c r="H139" s="149" t="str">
        <f t="shared" si="22"/>
        <v>REDOVNA DJELATNOST SVEUČILIŠTA U ZAGREBU (IZ EVIDENCIJSKIH PRIHODA)</v>
      </c>
      <c r="I139" s="198">
        <v>24400</v>
      </c>
      <c r="J139" s="198">
        <v>24941.68</v>
      </c>
      <c r="K139" s="198">
        <v>25171.143456000002</v>
      </c>
      <c r="M139" s="144" t="str">
        <f t="shared" si="23"/>
        <v>324</v>
      </c>
      <c r="N139" s="144" t="str">
        <f t="shared" si="24"/>
        <v>32</v>
      </c>
    </row>
    <row r="140" spans="1:22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52</v>
      </c>
      <c r="D140" s="149" t="str">
        <f t="shared" si="21"/>
        <v>Ostale pomoći</v>
      </c>
      <c r="E140" s="154">
        <v>3292</v>
      </c>
      <c r="F140" s="149" t="str">
        <f t="shared" si="20"/>
        <v>Premije osiguranja</v>
      </c>
      <c r="G140" s="201" t="s">
        <v>165</v>
      </c>
      <c r="H140" s="149" t="str">
        <f t="shared" si="22"/>
        <v>REDOVNA DJELATNOST SVEUČILIŠTA U ZAGREBU (IZ EVIDENCIJSKIH PRIHODA)</v>
      </c>
      <c r="I140" s="198">
        <v>3000</v>
      </c>
      <c r="J140" s="198">
        <v>3066.6</v>
      </c>
      <c r="K140" s="198">
        <v>3094.8127200000004</v>
      </c>
      <c r="M140" s="144" t="str">
        <f t="shared" si="23"/>
        <v>329</v>
      </c>
      <c r="N140" s="144" t="str">
        <f t="shared" si="24"/>
        <v>32</v>
      </c>
    </row>
    <row r="141" spans="1:22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52</v>
      </c>
      <c r="D141" s="149" t="str">
        <f t="shared" si="21"/>
        <v>Ostale pomoći</v>
      </c>
      <c r="E141" s="154">
        <v>3293</v>
      </c>
      <c r="F141" s="149" t="str">
        <f t="shared" si="20"/>
        <v>Reprezentacija</v>
      </c>
      <c r="G141" s="201" t="s">
        <v>165</v>
      </c>
      <c r="H141" s="149" t="str">
        <f t="shared" si="22"/>
        <v>REDOVNA DJELATNOST SVEUČILIŠTA U ZAGREBU (IZ EVIDENCIJSKIH PRIHODA)</v>
      </c>
      <c r="I141" s="198">
        <v>85000</v>
      </c>
      <c r="J141" s="198">
        <v>86887</v>
      </c>
      <c r="K141" s="198">
        <v>87686.360400000005</v>
      </c>
      <c r="M141" s="144" t="str">
        <f t="shared" si="23"/>
        <v>329</v>
      </c>
      <c r="N141" s="144" t="str">
        <f t="shared" si="24"/>
        <v>32</v>
      </c>
    </row>
    <row r="142" spans="1:22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52</v>
      </c>
      <c r="D142" s="149" t="str">
        <f t="shared" si="21"/>
        <v>Ostale pomoći</v>
      </c>
      <c r="E142" s="154">
        <v>3294</v>
      </c>
      <c r="F142" s="149" t="str">
        <f t="shared" si="20"/>
        <v>Članarine i norme</v>
      </c>
      <c r="G142" s="201" t="s">
        <v>165</v>
      </c>
      <c r="H142" s="149" t="str">
        <f t="shared" si="22"/>
        <v>REDOVNA DJELATNOST SVEUČILIŠTA U ZAGREBU (IZ EVIDENCIJSKIH PRIHODA)</v>
      </c>
      <c r="I142" s="198">
        <v>7000</v>
      </c>
      <c r="J142" s="198">
        <v>7155.4</v>
      </c>
      <c r="K142" s="198">
        <v>7221.2296800000004</v>
      </c>
      <c r="M142" s="144" t="str">
        <f t="shared" si="23"/>
        <v>329</v>
      </c>
      <c r="N142" s="144" t="str">
        <f t="shared" si="24"/>
        <v>32</v>
      </c>
    </row>
    <row r="143" spans="1:22">
      <c r="A143" s="148" t="str">
        <f>IF(C143="","",VLOOKUP('Opći dio'!$C$3,'Opći dio'!$L$6:$U$135,10,FALSE))</f>
        <v>08006</v>
      </c>
      <c r="B143" s="148" t="str">
        <f>IF(C143="","",VLOOKUP('Opći dio'!$C$3,'Opći dio'!$L$6:$U$135,9,FALSE))</f>
        <v>Sveučilišta i veleučilišta u Republici Hrvatskoj</v>
      </c>
      <c r="C143" s="154">
        <v>52</v>
      </c>
      <c r="D143" s="149" t="str">
        <f t="shared" si="21"/>
        <v>Ostale pomoći</v>
      </c>
      <c r="E143" s="154">
        <v>3295</v>
      </c>
      <c r="F143" s="149" t="str">
        <f t="shared" si="20"/>
        <v>Pristojbe i naknade</v>
      </c>
      <c r="G143" s="201" t="s">
        <v>165</v>
      </c>
      <c r="H143" s="149" t="str">
        <f t="shared" si="22"/>
        <v>REDOVNA DJELATNOST SVEUČILIŠTA U ZAGREBU (IZ EVIDENCIJSKIH PRIHODA)</v>
      </c>
      <c r="I143" s="198">
        <v>5000</v>
      </c>
      <c r="J143" s="198">
        <v>5111</v>
      </c>
      <c r="K143" s="198">
        <v>5158.0212000000001</v>
      </c>
      <c r="M143" s="144" t="str">
        <f t="shared" si="23"/>
        <v>329</v>
      </c>
      <c r="N143" s="144" t="str">
        <f t="shared" si="24"/>
        <v>32</v>
      </c>
    </row>
    <row r="144" spans="1:22">
      <c r="A144" s="148" t="str">
        <f>IF(C144="","",VLOOKUP('Opći dio'!$C$3,'Opći dio'!$L$6:$U$135,10,FALSE))</f>
        <v>08006</v>
      </c>
      <c r="B144" s="148" t="str">
        <f>IF(C144="","",VLOOKUP('Opći dio'!$C$3,'Opći dio'!$L$6:$U$135,9,FALSE))</f>
        <v>Sveučilišta i veleučilišta u Republici Hrvatskoj</v>
      </c>
      <c r="C144" s="154">
        <v>52</v>
      </c>
      <c r="D144" s="149" t="str">
        <f t="shared" si="21"/>
        <v>Ostale pomoći</v>
      </c>
      <c r="E144" s="154">
        <v>3299</v>
      </c>
      <c r="F144" s="149" t="str">
        <f t="shared" si="20"/>
        <v>Ostali nespomenuti rashodi poslovanja</v>
      </c>
      <c r="G144" s="201" t="s">
        <v>165</v>
      </c>
      <c r="H144" s="149" t="str">
        <f t="shared" si="22"/>
        <v>REDOVNA DJELATNOST SVEUČILIŠTA U ZAGREBU (IZ EVIDENCIJSKIH PRIHODA)</v>
      </c>
      <c r="I144" s="198">
        <v>22200</v>
      </c>
      <c r="J144" s="198">
        <v>22692.84</v>
      </c>
      <c r="K144" s="198">
        <v>22901.614128000001</v>
      </c>
      <c r="M144" s="144" t="str">
        <f t="shared" si="23"/>
        <v>329</v>
      </c>
      <c r="N144" s="144" t="str">
        <f t="shared" si="24"/>
        <v>32</v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52</v>
      </c>
      <c r="D145" s="149" t="str">
        <f t="shared" si="21"/>
        <v>Ostale pomoći</v>
      </c>
      <c r="E145" s="154">
        <v>3431</v>
      </c>
      <c r="F145" s="149" t="str">
        <f t="shared" si="20"/>
        <v>Bankarske usluge i usluge platnog prometa</v>
      </c>
      <c r="G145" s="201" t="s">
        <v>165</v>
      </c>
      <c r="H145" s="149" t="str">
        <f t="shared" si="22"/>
        <v>REDOVNA DJELATNOST SVEUČILIŠTA U ZAGREBU (IZ EVIDENCIJSKIH PRIHODA)</v>
      </c>
      <c r="I145" s="198">
        <v>6000</v>
      </c>
      <c r="J145" s="198">
        <v>8133.2</v>
      </c>
      <c r="K145" s="198">
        <v>8208.0254400000013</v>
      </c>
      <c r="M145" s="144" t="str">
        <f t="shared" si="23"/>
        <v>343</v>
      </c>
      <c r="N145" s="144" t="str">
        <f t="shared" si="24"/>
        <v>34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52</v>
      </c>
      <c r="D146" s="149" t="str">
        <f t="shared" si="21"/>
        <v>Ostale pomoći</v>
      </c>
      <c r="E146" s="154">
        <v>3432</v>
      </c>
      <c r="F146" s="149" t="str">
        <f t="shared" si="20"/>
        <v>Negativne tečajne razlike i razlike zbog primjene valutne kl</v>
      </c>
      <c r="G146" s="201" t="s">
        <v>165</v>
      </c>
      <c r="H146" s="149" t="str">
        <f t="shared" si="22"/>
        <v>REDOVNA DJELATNOST SVEUČILIŠTA U ZAGREBU (IZ EVIDENCIJSKIH PRIHODA)</v>
      </c>
      <c r="I146" s="198">
        <v>1000</v>
      </c>
      <c r="J146" s="198">
        <v>1022.2</v>
      </c>
      <c r="K146" s="198">
        <v>1031.6042400000001</v>
      </c>
      <c r="M146" s="144" t="str">
        <f t="shared" si="23"/>
        <v>343</v>
      </c>
      <c r="N146" s="144" t="str">
        <f t="shared" si="24"/>
        <v>34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52</v>
      </c>
      <c r="D147" s="149" t="str">
        <f t="shared" si="21"/>
        <v>Ostale pomoći</v>
      </c>
      <c r="E147" s="154">
        <v>4221</v>
      </c>
      <c r="F147" s="149" t="str">
        <f t="shared" si="20"/>
        <v>Uredska oprema i namještaj</v>
      </c>
      <c r="G147" s="201" t="s">
        <v>165</v>
      </c>
      <c r="H147" s="149" t="str">
        <f t="shared" si="22"/>
        <v>REDOVNA DJELATNOST SVEUČILIŠTA U ZAGREBU (IZ EVIDENCIJSKIH PRIHODA)</v>
      </c>
      <c r="I147" s="198">
        <v>61430</v>
      </c>
      <c r="J147" s="198">
        <v>62793.745999999999</v>
      </c>
      <c r="K147" s="198">
        <v>63371.448463200002</v>
      </c>
      <c r="M147" s="144" t="str">
        <f t="shared" si="23"/>
        <v>422</v>
      </c>
      <c r="N147" s="144" t="str">
        <f t="shared" si="24"/>
        <v>42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52</v>
      </c>
      <c r="D148" s="149" t="str">
        <f t="shared" si="21"/>
        <v>Ostale pomoći</v>
      </c>
      <c r="E148" s="154">
        <v>4222</v>
      </c>
      <c r="F148" s="149" t="str">
        <f t="shared" si="20"/>
        <v>Komunikacijska oprema</v>
      </c>
      <c r="G148" s="201" t="s">
        <v>165</v>
      </c>
      <c r="H148" s="149" t="str">
        <f t="shared" si="22"/>
        <v>REDOVNA DJELATNOST SVEUČILIŠTA U ZAGREBU (IZ EVIDENCIJSKIH PRIHODA)</v>
      </c>
      <c r="I148" s="198">
        <v>10000</v>
      </c>
      <c r="J148" s="198">
        <v>10222</v>
      </c>
      <c r="K148" s="198">
        <v>10316.0424</v>
      </c>
      <c r="M148" s="144" t="str">
        <f t="shared" si="23"/>
        <v>422</v>
      </c>
      <c r="N148" s="144" t="str">
        <f t="shared" si="24"/>
        <v>42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52</v>
      </c>
      <c r="D149" s="149" t="str">
        <f t="shared" si="21"/>
        <v>Ostale pomoći</v>
      </c>
      <c r="E149" s="154">
        <v>4223</v>
      </c>
      <c r="F149" s="149" t="str">
        <f t="shared" si="20"/>
        <v>Oprema za održavanje i zaštitu</v>
      </c>
      <c r="G149" s="201" t="s">
        <v>165</v>
      </c>
      <c r="H149" s="149" t="str">
        <f t="shared" si="22"/>
        <v>REDOVNA DJELATNOST SVEUČILIŠTA U ZAGREBU (IZ EVIDENCIJSKIH PRIHODA)</v>
      </c>
      <c r="I149" s="198">
        <v>21670</v>
      </c>
      <c r="J149" s="198">
        <v>22151.074000000001</v>
      </c>
      <c r="K149" s="198">
        <v>22354.863880800003</v>
      </c>
      <c r="M149" s="144" t="str">
        <f t="shared" si="23"/>
        <v>422</v>
      </c>
      <c r="N149" s="144" t="str">
        <f t="shared" si="24"/>
        <v>42</v>
      </c>
    </row>
    <row r="150" spans="1:14">
      <c r="A150" s="148" t="str">
        <f>IF(C150="","",VLOOKUP('Opći dio'!$C$3,'Opći dio'!$L$6:$U$135,10,FALSE))</f>
        <v>08006</v>
      </c>
      <c r="B150" s="148" t="str">
        <f>IF(C150="","",VLOOKUP('Opći dio'!$C$3,'Opći dio'!$L$6:$U$135,9,FALSE))</f>
        <v>Sveučilišta i veleučilišta u Republici Hrvatskoj</v>
      </c>
      <c r="C150" s="154">
        <v>52</v>
      </c>
      <c r="D150" s="149" t="str">
        <f t="shared" si="21"/>
        <v>Ostale pomoći</v>
      </c>
      <c r="E150" s="154">
        <v>4224</v>
      </c>
      <c r="F150" s="149" t="str">
        <f t="shared" si="20"/>
        <v>Medicinska i laboratorijska oprema</v>
      </c>
      <c r="G150" s="201" t="s">
        <v>165</v>
      </c>
      <c r="H150" s="149" t="str">
        <f t="shared" si="22"/>
        <v>REDOVNA DJELATNOST SVEUČILIŠTA U ZAGREBU (IZ EVIDENCIJSKIH PRIHODA)</v>
      </c>
      <c r="I150" s="198">
        <v>818125</v>
      </c>
      <c r="J150" s="198">
        <v>836287.375</v>
      </c>
      <c r="K150" s="198">
        <v>843981.21885000006</v>
      </c>
      <c r="M150" s="144" t="str">
        <f t="shared" si="23"/>
        <v>422</v>
      </c>
      <c r="N150" s="144" t="str">
        <f t="shared" si="24"/>
        <v>42</v>
      </c>
    </row>
    <row r="151" spans="1:14">
      <c r="A151" s="148" t="str">
        <f>IF(C151="","",VLOOKUP('Opći dio'!$C$3,'Opći dio'!$L$6:$U$135,10,FALSE))</f>
        <v>08006</v>
      </c>
      <c r="B151" s="148" t="str">
        <f>IF(C151="","",VLOOKUP('Opći dio'!$C$3,'Opći dio'!$L$6:$U$135,9,FALSE))</f>
        <v>Sveučilišta i veleučilišta u Republici Hrvatskoj</v>
      </c>
      <c r="C151" s="154">
        <v>52</v>
      </c>
      <c r="D151" s="149" t="str">
        <f t="shared" si="21"/>
        <v>Ostale pomoći</v>
      </c>
      <c r="E151" s="154">
        <v>4225</v>
      </c>
      <c r="F151" s="149" t="str">
        <f t="shared" si="20"/>
        <v>Instrumenti, uređaji i strojevi</v>
      </c>
      <c r="G151" s="201" t="s">
        <v>165</v>
      </c>
      <c r="H151" s="149" t="str">
        <f t="shared" si="22"/>
        <v>REDOVNA DJELATNOST SVEUČILIŠTA U ZAGREBU (IZ EVIDENCIJSKIH PRIHODA)</v>
      </c>
      <c r="I151" s="198">
        <v>399300</v>
      </c>
      <c r="J151" s="198">
        <v>408165</v>
      </c>
      <c r="K151" s="198">
        <v>411919.57303200004</v>
      </c>
      <c r="M151" s="144" t="str">
        <f t="shared" si="23"/>
        <v>422</v>
      </c>
      <c r="N151" s="144" t="str">
        <f t="shared" si="24"/>
        <v>42</v>
      </c>
    </row>
    <row r="152" spans="1:14">
      <c r="A152" s="148" t="str">
        <f>IF(C152="","",VLOOKUP('Opći dio'!$C$3,'Opći dio'!$L$6:$U$135,10,FALSE))</f>
        <v>08006</v>
      </c>
      <c r="B152" s="148" t="str">
        <f>IF(C152="","",VLOOKUP('Opći dio'!$C$3,'Opći dio'!$L$6:$U$135,9,FALSE))</f>
        <v>Sveučilišta i veleučilišta u Republici Hrvatskoj</v>
      </c>
      <c r="C152" s="154">
        <v>52</v>
      </c>
      <c r="D152" s="149" t="str">
        <f t="shared" si="21"/>
        <v>Ostale pomoći</v>
      </c>
      <c r="E152" s="154">
        <v>4521</v>
      </c>
      <c r="F152" s="149" t="str">
        <f t="shared" si="20"/>
        <v>Dodatna ulaganja na postrojenjima i opremi</v>
      </c>
      <c r="G152" s="201" t="s">
        <v>165</v>
      </c>
      <c r="H152" s="149" t="str">
        <f t="shared" si="22"/>
        <v>REDOVNA DJELATNOST SVEUČILIŠTA U ZAGREBU (IZ EVIDENCIJSKIH PRIHODA)</v>
      </c>
      <c r="I152" s="198">
        <v>280600</v>
      </c>
      <c r="J152" s="198">
        <v>286829.32</v>
      </c>
      <c r="K152" s="198">
        <v>289468.14974400005</v>
      </c>
      <c r="M152" s="144" t="str">
        <f t="shared" si="23"/>
        <v>452</v>
      </c>
      <c r="N152" s="144" t="str">
        <f t="shared" si="24"/>
        <v>45</v>
      </c>
    </row>
    <row r="153" spans="1:14">
      <c r="A153" s="148" t="str">
        <f>IF(C153="","",VLOOKUP('Opći dio'!$C$3,'Opći dio'!$L$6:$U$135,10,FALSE))</f>
        <v>08006</v>
      </c>
      <c r="B153" s="148" t="str">
        <f>IF(C153="","",VLOOKUP('Opći dio'!$C$3,'Opći dio'!$L$6:$U$135,9,FALSE))</f>
        <v>Sveučilišta i veleučilišta u Republici Hrvatskoj</v>
      </c>
      <c r="C153" s="154">
        <v>11</v>
      </c>
      <c r="D153" s="149" t="str">
        <f t="shared" si="21"/>
        <v>Opći prihodi i primici</v>
      </c>
      <c r="E153" s="154">
        <v>4221</v>
      </c>
      <c r="F153" s="149" t="str">
        <f t="shared" si="20"/>
        <v>Uredska oprema i namještaj</v>
      </c>
      <c r="G153" s="201" t="s">
        <v>67</v>
      </c>
      <c r="H153" s="149" t="str">
        <f t="shared" si="22"/>
        <v>REDOVNA DJELATNOST SVEUČILIŠTA U ZAGREBU</v>
      </c>
      <c r="I153" s="198">
        <v>154548.11195438355</v>
      </c>
      <c r="J153" s="198">
        <v>157979.08003977087</v>
      </c>
      <c r="K153" s="198">
        <v>159432.48757613677</v>
      </c>
      <c r="M153" s="144" t="str">
        <f t="shared" si="23"/>
        <v>422</v>
      </c>
      <c r="N153" s="144" t="str">
        <f t="shared" si="24"/>
        <v>42</v>
      </c>
    </row>
    <row r="154" spans="1:14">
      <c r="A154" s="148" t="str">
        <f>IF(C154="","",VLOOKUP('Opći dio'!$C$3,'Opći dio'!$L$6:$U$135,10,FALSE))</f>
        <v>08006</v>
      </c>
      <c r="B154" s="148" t="str">
        <f>IF(C154="","",VLOOKUP('Opći dio'!$C$3,'Opći dio'!$L$6:$U$135,9,FALSE))</f>
        <v>Sveučilišta i veleučilišta u Republici Hrvatskoj</v>
      </c>
      <c r="C154" s="154">
        <v>11</v>
      </c>
      <c r="D154" s="149" t="str">
        <f t="shared" si="21"/>
        <v>Opći prihodi i primici</v>
      </c>
      <c r="E154" s="154">
        <v>4222</v>
      </c>
      <c r="F154" s="149" t="str">
        <f t="shared" si="20"/>
        <v>Komunikacijska oprema</v>
      </c>
      <c r="G154" s="201" t="s">
        <v>67</v>
      </c>
      <c r="H154" s="149" t="str">
        <f t="shared" si="22"/>
        <v>REDOVNA DJELATNOST SVEUČILIŠTA U ZAGREBU</v>
      </c>
      <c r="I154" s="198">
        <v>22819.950085549437</v>
      </c>
      <c r="J154" s="198">
        <v>23326.552977448635</v>
      </c>
      <c r="K154" s="198">
        <v>23541.157264841164</v>
      </c>
      <c r="M154" s="144" t="str">
        <f t="shared" si="23"/>
        <v>422</v>
      </c>
      <c r="N154" s="144" t="str">
        <f t="shared" si="24"/>
        <v>42</v>
      </c>
    </row>
    <row r="155" spans="1:14">
      <c r="A155" s="148" t="str">
        <f>IF(C155="","",VLOOKUP('Opći dio'!$C$3,'Opći dio'!$L$6:$U$135,10,FALSE))</f>
        <v>08006</v>
      </c>
      <c r="B155" s="148" t="str">
        <f>IF(C155="","",VLOOKUP('Opći dio'!$C$3,'Opći dio'!$L$6:$U$135,9,FALSE))</f>
        <v>Sveučilišta i veleučilišta u Republici Hrvatskoj</v>
      </c>
      <c r="C155" s="154">
        <v>11</v>
      </c>
      <c r="D155" s="149" t="str">
        <f t="shared" si="21"/>
        <v>Opći prihodi i primici</v>
      </c>
      <c r="E155" s="154">
        <v>4223</v>
      </c>
      <c r="F155" s="149" t="str">
        <f t="shared" si="20"/>
        <v>Oprema za održavanje i zaštitu</v>
      </c>
      <c r="G155" s="201" t="s">
        <v>67</v>
      </c>
      <c r="H155" s="149" t="str">
        <f t="shared" si="22"/>
        <v>REDOVNA DJELATNOST SVEUČILIŠTA U ZAGREBU</v>
      </c>
      <c r="I155" s="198">
        <v>95273.291607168896</v>
      </c>
      <c r="J155" s="198">
        <v>97388.358680848047</v>
      </c>
      <c r="K155" s="198">
        <v>98284.331580711863</v>
      </c>
      <c r="M155" s="144" t="str">
        <f t="shared" si="23"/>
        <v>422</v>
      </c>
      <c r="N155" s="144" t="str">
        <f t="shared" si="24"/>
        <v>42</v>
      </c>
    </row>
    <row r="156" spans="1:14">
      <c r="A156" s="148" t="str">
        <f>IF(C156="","",VLOOKUP('Opći dio'!$C$3,'Opći dio'!$L$6:$U$135,10,FALSE))</f>
        <v>08006</v>
      </c>
      <c r="B156" s="148" t="str">
        <f>IF(C156="","",VLOOKUP('Opći dio'!$C$3,'Opći dio'!$L$6:$U$135,9,FALSE))</f>
        <v>Sveučilišta i veleučilišta u Republici Hrvatskoj</v>
      </c>
      <c r="C156" s="154">
        <v>11</v>
      </c>
      <c r="D156" s="149" t="str">
        <f t="shared" si="21"/>
        <v>Opći prihodi i primici</v>
      </c>
      <c r="E156" s="154">
        <v>4225</v>
      </c>
      <c r="F156" s="149" t="str">
        <f t="shared" si="20"/>
        <v>Instrumenti, uređaji i strojevi</v>
      </c>
      <c r="G156" s="201" t="s">
        <v>67</v>
      </c>
      <c r="H156" s="149" t="str">
        <f t="shared" si="22"/>
        <v>REDOVNA DJELATNOST SVEUČILIŠTA U ZAGREBU</v>
      </c>
      <c r="I156" s="198">
        <v>250448.95218890507</v>
      </c>
      <c r="J156" s="198">
        <v>256008.91892749877</v>
      </c>
      <c r="K156" s="198">
        <v>258364.20098163179</v>
      </c>
      <c r="M156" s="144" t="str">
        <f t="shared" si="23"/>
        <v>422</v>
      </c>
      <c r="N156" s="144" t="str">
        <f t="shared" si="24"/>
        <v>42</v>
      </c>
    </row>
    <row r="157" spans="1:14">
      <c r="A157" s="148" t="str">
        <f>IF(C157="","",VLOOKUP('Opći dio'!$C$3,'Opći dio'!$L$6:$U$135,10,FALSE))</f>
        <v>08006</v>
      </c>
      <c r="B157" s="148" t="str">
        <f>IF(C157="","",VLOOKUP('Opći dio'!$C$3,'Opći dio'!$L$6:$U$135,9,FALSE))</f>
        <v>Sveučilišta i veleučilišta u Republici Hrvatskoj</v>
      </c>
      <c r="C157" s="154">
        <v>51</v>
      </c>
      <c r="D157" s="149" t="str">
        <f t="shared" si="21"/>
        <v>Pomoći EU</v>
      </c>
      <c r="E157" s="154">
        <v>3111</v>
      </c>
      <c r="F157" s="149" t="str">
        <f t="shared" si="20"/>
        <v>Plaće za redovan rad</v>
      </c>
      <c r="G157" s="201" t="s">
        <v>158</v>
      </c>
      <c r="H157" s="149" t="str">
        <f t="shared" si="22"/>
        <v>EU PROJEKTI SVEUČILIŠTE U ZAGREBU (IZ EVIDENCIJSKIH PRIHODA)</v>
      </c>
      <c r="I157" s="198">
        <v>29980</v>
      </c>
      <c r="J157" s="198">
        <v>0</v>
      </c>
      <c r="K157" s="198">
        <v>0</v>
      </c>
      <c r="M157" s="144" t="str">
        <f t="shared" si="23"/>
        <v>311</v>
      </c>
      <c r="N157" s="144" t="str">
        <f t="shared" si="24"/>
        <v>31</v>
      </c>
    </row>
    <row r="158" spans="1:14">
      <c r="A158" s="148" t="str">
        <f>IF(C158="","",VLOOKUP('Opći dio'!$C$3,'Opći dio'!$L$6:$U$135,10,FALSE))</f>
        <v>08006</v>
      </c>
      <c r="B158" s="148" t="str">
        <f>IF(C158="","",VLOOKUP('Opći dio'!$C$3,'Opći dio'!$L$6:$U$135,9,FALSE))</f>
        <v>Sveučilišta i veleučilišta u Republici Hrvatskoj</v>
      </c>
      <c r="C158" s="154">
        <v>51</v>
      </c>
      <c r="D158" s="149" t="str">
        <f t="shared" si="21"/>
        <v>Pomoći EU</v>
      </c>
      <c r="E158" s="154">
        <v>3121</v>
      </c>
      <c r="F158" s="149" t="str">
        <f t="shared" si="20"/>
        <v>Ostali rashodi za zaposlene</v>
      </c>
      <c r="G158" s="201" t="s">
        <v>158</v>
      </c>
      <c r="H158" s="149" t="str">
        <f t="shared" si="22"/>
        <v>EU PROJEKTI SVEUČILIŠTE U ZAGREBU (IZ EVIDENCIJSKIH PRIHODA)</v>
      </c>
      <c r="I158" s="198">
        <v>5000</v>
      </c>
      <c r="J158" s="198">
        <v>0</v>
      </c>
      <c r="K158" s="198">
        <v>0</v>
      </c>
      <c r="M158" s="144" t="str">
        <f t="shared" si="23"/>
        <v>312</v>
      </c>
      <c r="N158" s="144" t="str">
        <f t="shared" si="24"/>
        <v>31</v>
      </c>
    </row>
    <row r="159" spans="1:14">
      <c r="A159" s="148" t="str">
        <f>IF(C159="","",VLOOKUP('Opći dio'!$C$3,'Opći dio'!$L$6:$U$135,10,FALSE))</f>
        <v>08006</v>
      </c>
      <c r="B159" s="148" t="str">
        <f>IF(C159="","",VLOOKUP('Opći dio'!$C$3,'Opći dio'!$L$6:$U$135,9,FALSE))</f>
        <v>Sveučilišta i veleučilišta u Republici Hrvatskoj</v>
      </c>
      <c r="C159" s="154">
        <v>51</v>
      </c>
      <c r="D159" s="149" t="str">
        <f t="shared" si="21"/>
        <v>Pomoći EU</v>
      </c>
      <c r="E159" s="154">
        <v>3132</v>
      </c>
      <c r="F159" s="149" t="str">
        <f t="shared" si="20"/>
        <v>Doprinosi za obvezno zdravstveno osiguranje</v>
      </c>
      <c r="G159" s="201" t="s">
        <v>158</v>
      </c>
      <c r="H159" s="149" t="str">
        <f t="shared" si="22"/>
        <v>EU PROJEKTI SVEUČILIŠTE U ZAGREBU (IZ EVIDENCIJSKIH PRIHODA)</v>
      </c>
      <c r="I159" s="198">
        <v>5000</v>
      </c>
      <c r="J159" s="198">
        <v>0</v>
      </c>
      <c r="K159" s="198">
        <v>0</v>
      </c>
      <c r="M159" s="144" t="str">
        <f t="shared" si="23"/>
        <v>313</v>
      </c>
      <c r="N159" s="144" t="str">
        <f t="shared" si="24"/>
        <v>31</v>
      </c>
    </row>
    <row r="160" spans="1:14">
      <c r="A160" s="148" t="str">
        <f>IF(C160="","",VLOOKUP('Opći dio'!$C$3,'Opći dio'!$L$6:$U$135,10,FALSE))</f>
        <v>08006</v>
      </c>
      <c r="B160" s="148" t="str">
        <f>IF(C160="","",VLOOKUP('Opći dio'!$C$3,'Opći dio'!$L$6:$U$135,9,FALSE))</f>
        <v>Sveučilišta i veleučilišta u Republici Hrvatskoj</v>
      </c>
      <c r="C160" s="154">
        <v>51</v>
      </c>
      <c r="D160" s="149" t="str">
        <f t="shared" si="21"/>
        <v>Pomoći EU</v>
      </c>
      <c r="E160" s="154">
        <v>3211</v>
      </c>
      <c r="F160" s="149" t="str">
        <f t="shared" si="20"/>
        <v>Službena putovanja</v>
      </c>
      <c r="G160" s="201" t="s">
        <v>158</v>
      </c>
      <c r="H160" s="149" t="str">
        <f t="shared" si="22"/>
        <v>EU PROJEKTI SVEUČILIŠTE U ZAGREBU (IZ EVIDENCIJSKIH PRIHODA)</v>
      </c>
      <c r="I160" s="198">
        <v>20570</v>
      </c>
      <c r="J160" s="198">
        <v>0</v>
      </c>
      <c r="K160" s="198">
        <v>0</v>
      </c>
      <c r="M160" s="144" t="str">
        <f t="shared" si="23"/>
        <v>321</v>
      </c>
      <c r="N160" s="144" t="str">
        <f t="shared" si="24"/>
        <v>32</v>
      </c>
    </row>
    <row r="161" spans="1:14">
      <c r="A161" s="148" t="str">
        <f>IF(C161="","",VLOOKUP('Opći dio'!$C$3,'Opći dio'!$L$6:$U$135,10,FALSE))</f>
        <v>08006</v>
      </c>
      <c r="B161" s="148" t="str">
        <f>IF(C161="","",VLOOKUP('Opći dio'!$C$3,'Opći dio'!$L$6:$U$135,9,FALSE))</f>
        <v>Sveučilišta i veleučilišta u Republici Hrvatskoj</v>
      </c>
      <c r="C161" s="154">
        <v>51</v>
      </c>
      <c r="D161" s="149" t="str">
        <f t="shared" si="21"/>
        <v>Pomoći EU</v>
      </c>
      <c r="E161" s="154">
        <v>3213</v>
      </c>
      <c r="F161" s="149" t="str">
        <f t="shared" si="20"/>
        <v>Stručno usavršavanje zaposlenika</v>
      </c>
      <c r="G161" s="201" t="s">
        <v>158</v>
      </c>
      <c r="H161" s="149" t="str">
        <f t="shared" si="22"/>
        <v>EU PROJEKTI SVEUČILIŠTE U ZAGREBU (IZ EVIDENCIJSKIH PRIHODA)</v>
      </c>
      <c r="I161" s="198">
        <v>6000</v>
      </c>
      <c r="J161" s="198">
        <v>0</v>
      </c>
      <c r="K161" s="198">
        <v>0</v>
      </c>
      <c r="M161" s="144" t="str">
        <f t="shared" si="23"/>
        <v>321</v>
      </c>
      <c r="N161" s="144" t="str">
        <f t="shared" si="24"/>
        <v>32</v>
      </c>
    </row>
    <row r="162" spans="1:14">
      <c r="A162" s="148" t="str">
        <f>IF(C162="","",VLOOKUP('Opći dio'!$C$3,'Opći dio'!$L$6:$U$135,10,FALSE))</f>
        <v>08006</v>
      </c>
      <c r="B162" s="148" t="str">
        <f>IF(C162="","",VLOOKUP('Opći dio'!$C$3,'Opći dio'!$L$6:$U$135,9,FALSE))</f>
        <v>Sveučilišta i veleučilišta u Republici Hrvatskoj</v>
      </c>
      <c r="C162" s="154">
        <v>51</v>
      </c>
      <c r="D162" s="149" t="str">
        <f t="shared" si="21"/>
        <v>Pomoći EU</v>
      </c>
      <c r="E162" s="154">
        <v>3431</v>
      </c>
      <c r="F162" s="149" t="str">
        <f t="shared" si="20"/>
        <v>Bankarske usluge i usluge platnog prometa</v>
      </c>
      <c r="G162" s="201" t="s">
        <v>158</v>
      </c>
      <c r="H162" s="149" t="str">
        <f t="shared" si="22"/>
        <v>EU PROJEKTI SVEUČILIŠTE U ZAGREBU (IZ EVIDENCIJSKIH PRIHODA)</v>
      </c>
      <c r="I162" s="198">
        <v>1120</v>
      </c>
      <c r="J162" s="198">
        <v>0</v>
      </c>
      <c r="K162" s="198">
        <v>0</v>
      </c>
      <c r="M162" s="144" t="str">
        <f t="shared" si="23"/>
        <v>343</v>
      </c>
      <c r="N162" s="144" t="str">
        <f t="shared" si="24"/>
        <v>34</v>
      </c>
    </row>
    <row r="163" spans="1:14">
      <c r="A163" s="148" t="str">
        <f>IF(C163="","",VLOOKUP('Opći dio'!$C$3,'Opći dio'!$L$6:$U$135,10,FALSE))</f>
        <v>08006</v>
      </c>
      <c r="B163" s="148" t="str">
        <f>IF(C163="","",VLOOKUP('Opći dio'!$C$3,'Opći dio'!$L$6:$U$135,9,FALSE))</f>
        <v>Sveučilišta i veleučilišta u Republici Hrvatskoj</v>
      </c>
      <c r="C163" s="154">
        <v>51</v>
      </c>
      <c r="D163" s="149" t="str">
        <f t="shared" si="21"/>
        <v>Pomoći EU</v>
      </c>
      <c r="E163" s="154">
        <v>3211</v>
      </c>
      <c r="F163" s="149" t="str">
        <f t="shared" si="20"/>
        <v>Službena putovanja</v>
      </c>
      <c r="G163" s="201" t="s">
        <v>158</v>
      </c>
      <c r="H163" s="149" t="str">
        <f t="shared" si="22"/>
        <v>EU PROJEKTI SVEUČILIŠTE U ZAGREBU (IZ EVIDENCIJSKIH PRIHODA)</v>
      </c>
      <c r="I163" s="198">
        <v>8630</v>
      </c>
      <c r="J163" s="198">
        <v>0</v>
      </c>
      <c r="K163" s="198">
        <v>0</v>
      </c>
      <c r="M163" s="144" t="str">
        <f t="shared" si="23"/>
        <v>321</v>
      </c>
      <c r="N163" s="144" t="str">
        <f t="shared" si="24"/>
        <v>32</v>
      </c>
    </row>
    <row r="164" spans="1:14">
      <c r="A164" s="148" t="str">
        <f>IF(C164="","",VLOOKUP('Opći dio'!$C$3,'Opći dio'!$L$6:$U$135,10,FALSE))</f>
        <v>08006</v>
      </c>
      <c r="B164" s="148" t="str">
        <f>IF(C164="","",VLOOKUP('Opći dio'!$C$3,'Opći dio'!$L$6:$U$135,9,FALSE))</f>
        <v>Sveučilišta i veleučilišta u Republici Hrvatskoj</v>
      </c>
      <c r="C164" s="154">
        <v>51</v>
      </c>
      <c r="D164" s="149" t="str">
        <f t="shared" si="21"/>
        <v>Pomoći EU</v>
      </c>
      <c r="E164" s="154">
        <v>3213</v>
      </c>
      <c r="F164" s="149" t="str">
        <f t="shared" si="20"/>
        <v>Stručno usavršavanje zaposlenika</v>
      </c>
      <c r="G164" s="201" t="s">
        <v>158</v>
      </c>
      <c r="H164" s="149" t="str">
        <f t="shared" si="22"/>
        <v>EU PROJEKTI SVEUČILIŠTE U ZAGREBU (IZ EVIDENCIJSKIH PRIHODA)</v>
      </c>
      <c r="I164" s="198">
        <v>4400</v>
      </c>
      <c r="J164" s="198">
        <v>0</v>
      </c>
      <c r="K164" s="198">
        <v>0</v>
      </c>
      <c r="M164" s="144" t="str">
        <f t="shared" si="23"/>
        <v>321</v>
      </c>
      <c r="N164" s="144" t="str">
        <f t="shared" si="24"/>
        <v>32</v>
      </c>
    </row>
    <row r="165" spans="1:14">
      <c r="A165" s="148" t="str">
        <f>IF(C165="","",VLOOKUP('Opći dio'!$C$3,'Opći dio'!$L$6:$U$135,10,FALSE))</f>
        <v>08006</v>
      </c>
      <c r="B165" s="148" t="str">
        <f>IF(C165="","",VLOOKUP('Opći dio'!$C$3,'Opći dio'!$L$6:$U$135,9,FALSE))</f>
        <v>Sveučilišta i veleučilišta u Republici Hrvatskoj</v>
      </c>
      <c r="C165" s="154">
        <v>51</v>
      </c>
      <c r="D165" s="149" t="str">
        <f t="shared" si="21"/>
        <v>Pomoći EU</v>
      </c>
      <c r="E165" s="154">
        <v>3431</v>
      </c>
      <c r="F165" s="149" t="str">
        <f t="shared" si="20"/>
        <v>Bankarske usluge i usluge platnog prometa</v>
      </c>
      <c r="G165" s="201" t="s">
        <v>158</v>
      </c>
      <c r="H165" s="149" t="str">
        <f t="shared" si="22"/>
        <v>EU PROJEKTI SVEUČILIŠTE U ZAGREBU (IZ EVIDENCIJSKIH PRIHODA)</v>
      </c>
      <c r="I165" s="198">
        <v>1700</v>
      </c>
      <c r="J165" s="198">
        <v>0</v>
      </c>
      <c r="K165" s="198">
        <v>0</v>
      </c>
      <c r="M165" s="144" t="str">
        <f t="shared" si="23"/>
        <v>343</v>
      </c>
      <c r="N165" s="144" t="str">
        <f t="shared" si="24"/>
        <v>34</v>
      </c>
    </row>
    <row r="166" spans="1:14">
      <c r="A166" s="148" t="str">
        <f>IF(C166="","",VLOOKUP('Opći dio'!$C$3,'Opći dio'!$L$6:$U$135,10,FALSE))</f>
        <v>08006</v>
      </c>
      <c r="B166" s="148" t="str">
        <f>IF(C166="","",VLOOKUP('Opći dio'!$C$3,'Opći dio'!$L$6:$U$135,9,FALSE))</f>
        <v>Sveučilišta i veleučilišta u Republici Hrvatskoj</v>
      </c>
      <c r="C166" s="154">
        <v>61</v>
      </c>
      <c r="D166" s="149" t="str">
        <f t="shared" si="21"/>
        <v>Donacije</v>
      </c>
      <c r="E166" s="154">
        <v>3223</v>
      </c>
      <c r="F166" s="149" t="str">
        <f t="shared" si="20"/>
        <v>Energija</v>
      </c>
      <c r="G166" s="201" t="s">
        <v>165</v>
      </c>
      <c r="H166" s="149" t="str">
        <f t="shared" si="22"/>
        <v>REDOVNA DJELATNOST SVEUČILIŠTA U ZAGREBU (IZ EVIDENCIJSKIH PRIHODA)</v>
      </c>
      <c r="I166" s="198">
        <v>14620</v>
      </c>
      <c r="J166" s="198">
        <v>14944.564</v>
      </c>
      <c r="K166" s="198">
        <v>15082.053988800002</v>
      </c>
      <c r="M166" s="144" t="str">
        <f t="shared" si="23"/>
        <v>322</v>
      </c>
      <c r="N166" s="144" t="str">
        <f t="shared" si="24"/>
        <v>32</v>
      </c>
    </row>
    <row r="167" spans="1:14">
      <c r="A167" s="148" t="str">
        <f>IF(C167="","",VLOOKUP('Opći dio'!$C$3,'Opći dio'!$L$6:$U$135,10,FALSE))</f>
        <v>08006</v>
      </c>
      <c r="B167" s="148" t="str">
        <f>IF(C167="","",VLOOKUP('Opći dio'!$C$3,'Opći dio'!$L$6:$U$135,9,FALSE))</f>
        <v>Sveučilišta i veleučilišta u Republici Hrvatskoj</v>
      </c>
      <c r="C167" s="154">
        <v>61</v>
      </c>
      <c r="D167" s="149" t="str">
        <f t="shared" si="21"/>
        <v>Donacije</v>
      </c>
      <c r="E167" s="154">
        <v>3233</v>
      </c>
      <c r="F167" s="149" t="str">
        <f t="shared" si="20"/>
        <v>Usluge promidžbe i informiranja</v>
      </c>
      <c r="G167" s="201" t="s">
        <v>165</v>
      </c>
      <c r="H167" s="149" t="str">
        <f t="shared" si="22"/>
        <v>REDOVNA DJELATNOST SVEUČILIŠTA U ZAGREBU (IZ EVIDENCIJSKIH PRIHODA)</v>
      </c>
      <c r="I167" s="198">
        <v>10000</v>
      </c>
      <c r="J167" s="198">
        <v>10222</v>
      </c>
      <c r="K167" s="198">
        <v>10316.0424</v>
      </c>
      <c r="M167" s="144" t="str">
        <f t="shared" si="23"/>
        <v>323</v>
      </c>
      <c r="N167" s="144" t="str">
        <f t="shared" si="24"/>
        <v>32</v>
      </c>
    </row>
    <row r="168" spans="1:14">
      <c r="A168" s="148" t="str">
        <f>IF(C168="","",VLOOKUP('Opći dio'!$C$3,'Opći dio'!$L$6:$U$135,10,FALSE))</f>
        <v>08006</v>
      </c>
      <c r="B168" s="148" t="str">
        <f>IF(C168="","",VLOOKUP('Opći dio'!$C$3,'Opći dio'!$L$6:$U$135,9,FALSE))</f>
        <v>Sveučilišta i veleučilišta u Republici Hrvatskoj</v>
      </c>
      <c r="C168" s="154">
        <v>61</v>
      </c>
      <c r="D168" s="149" t="str">
        <f t="shared" si="21"/>
        <v>Donacije</v>
      </c>
      <c r="E168" s="154">
        <v>3235</v>
      </c>
      <c r="F168" s="149" t="str">
        <f t="shared" si="20"/>
        <v>Zakupnine i najamnine</v>
      </c>
      <c r="G168" s="201" t="s">
        <v>165</v>
      </c>
      <c r="H168" s="149" t="str">
        <f t="shared" si="22"/>
        <v>REDOVNA DJELATNOST SVEUČILIŠTA U ZAGREBU (IZ EVIDENCIJSKIH PRIHODA)</v>
      </c>
      <c r="I168" s="198">
        <v>19350</v>
      </c>
      <c r="J168" s="198">
        <v>19779.57</v>
      </c>
      <c r="K168" s="198">
        <v>19961.542044000002</v>
      </c>
      <c r="M168" s="144" t="str">
        <f t="shared" si="23"/>
        <v>323</v>
      </c>
      <c r="N168" s="144" t="str">
        <f t="shared" si="24"/>
        <v>32</v>
      </c>
    </row>
    <row r="169" spans="1:14">
      <c r="A169" s="148" t="str">
        <f>IF(C169="","",VLOOKUP('Opći dio'!$C$3,'Opći dio'!$L$6:$U$135,10,FALSE))</f>
        <v>08006</v>
      </c>
      <c r="B169" s="148" t="str">
        <f>IF(C169="","",VLOOKUP('Opći dio'!$C$3,'Opći dio'!$L$6:$U$135,9,FALSE))</f>
        <v>Sveučilišta i veleučilišta u Republici Hrvatskoj</v>
      </c>
      <c r="C169" s="154">
        <v>61</v>
      </c>
      <c r="D169" s="149" t="str">
        <f t="shared" si="21"/>
        <v>Donacije</v>
      </c>
      <c r="E169" s="154">
        <v>3239</v>
      </c>
      <c r="F169" s="149" t="str">
        <f t="shared" si="20"/>
        <v>Ostale usluge</v>
      </c>
      <c r="G169" s="201" t="s">
        <v>165</v>
      </c>
      <c r="H169" s="149" t="str">
        <f t="shared" si="22"/>
        <v>REDOVNA DJELATNOST SVEUČILIŠTA U ZAGREBU (IZ EVIDENCIJSKIH PRIHODA)</v>
      </c>
      <c r="I169" s="198">
        <v>12860</v>
      </c>
      <c r="J169" s="198">
        <v>13145.492</v>
      </c>
      <c r="K169" s="198">
        <v>13266.430526400001</v>
      </c>
      <c r="M169" s="144" t="str">
        <f t="shared" si="23"/>
        <v>323</v>
      </c>
      <c r="N169" s="144" t="str">
        <f t="shared" si="24"/>
        <v>32</v>
      </c>
    </row>
    <row r="170" spans="1:14">
      <c r="A170" s="148" t="str">
        <f>IF(C170="","",VLOOKUP('Opći dio'!$C$3,'Opći dio'!$L$6:$U$135,10,FALSE))</f>
        <v>08006</v>
      </c>
      <c r="B170" s="148" t="str">
        <f>IF(C170="","",VLOOKUP('Opći dio'!$C$3,'Opći dio'!$L$6:$U$135,9,FALSE))</f>
        <v>Sveučilišta i veleučilišta u Republici Hrvatskoj</v>
      </c>
      <c r="C170" s="154">
        <v>61</v>
      </c>
      <c r="D170" s="149" t="str">
        <f t="shared" si="21"/>
        <v>Donacije</v>
      </c>
      <c r="E170" s="154">
        <v>3293</v>
      </c>
      <c r="F170" s="149" t="str">
        <f t="shared" si="20"/>
        <v>Reprezentacija</v>
      </c>
      <c r="G170" s="201" t="s">
        <v>165</v>
      </c>
      <c r="H170" s="149" t="str">
        <f t="shared" si="22"/>
        <v>REDOVNA DJELATNOST SVEUČILIŠTA U ZAGREBU (IZ EVIDENCIJSKIH PRIHODA)</v>
      </c>
      <c r="I170" s="198">
        <v>30910</v>
      </c>
      <c r="J170" s="198">
        <v>31596.202000000001</v>
      </c>
      <c r="K170" s="198">
        <v>31886.887058400003</v>
      </c>
      <c r="M170" s="144" t="str">
        <f t="shared" si="23"/>
        <v>329</v>
      </c>
      <c r="N170" s="144" t="str">
        <f t="shared" si="24"/>
        <v>32</v>
      </c>
    </row>
    <row r="171" spans="1:14">
      <c r="A171" s="148" t="str">
        <f>IF(C171="","",VLOOKUP('Opći dio'!$C$3,'Opći dio'!$L$6:$U$135,10,FALSE))</f>
        <v>08006</v>
      </c>
      <c r="B171" s="148" t="str">
        <f>IF(C171="","",VLOOKUP('Opći dio'!$C$3,'Opći dio'!$L$6:$U$135,9,FALSE))</f>
        <v>Sveučilišta i veleučilišta u Republici Hrvatskoj</v>
      </c>
      <c r="C171" s="154">
        <v>61</v>
      </c>
      <c r="D171" s="149" t="str">
        <f t="shared" si="21"/>
        <v>Donacije</v>
      </c>
      <c r="E171" s="154">
        <v>3299</v>
      </c>
      <c r="F171" s="149" t="str">
        <f t="shared" si="20"/>
        <v>Ostali nespomenuti rashodi poslovanja</v>
      </c>
      <c r="G171" s="201" t="s">
        <v>165</v>
      </c>
      <c r="H171" s="149" t="str">
        <f t="shared" si="22"/>
        <v>REDOVNA DJELATNOST SVEUČILIŠTA U ZAGREBU (IZ EVIDENCIJSKIH PRIHODA)</v>
      </c>
      <c r="I171" s="198">
        <v>12260</v>
      </c>
      <c r="J171" s="198">
        <v>12532.172</v>
      </c>
      <c r="K171" s="198">
        <v>12647.467982400001</v>
      </c>
      <c r="M171" s="144" t="str">
        <f t="shared" si="23"/>
        <v>329</v>
      </c>
      <c r="N171" s="144" t="str">
        <f t="shared" si="24"/>
        <v>32</v>
      </c>
    </row>
    <row r="172" spans="1:14">
      <c r="A172" s="148" t="str">
        <f>IF(C172="","",VLOOKUP('Opći dio'!$C$3,'Opći dio'!$L$6:$U$135,10,FALSE))</f>
        <v>08006</v>
      </c>
      <c r="B172" s="148" t="str">
        <f>IF(C172="","",VLOOKUP('Opći dio'!$C$3,'Opći dio'!$L$6:$U$135,9,FALSE))</f>
        <v>Sveučilišta i veleučilišta u Republici Hrvatskoj</v>
      </c>
      <c r="C172" s="154">
        <v>61</v>
      </c>
      <c r="D172" s="149" t="str">
        <f t="shared" si="21"/>
        <v>Donacije</v>
      </c>
      <c r="E172" s="154">
        <v>3241</v>
      </c>
      <c r="F172" s="149" t="str">
        <f t="shared" si="20"/>
        <v>Naknade troškova osobama izvan radnog odnosa</v>
      </c>
      <c r="G172" s="201" t="s">
        <v>165</v>
      </c>
      <c r="H172" s="149" t="str">
        <f t="shared" si="22"/>
        <v>REDOVNA DJELATNOST SVEUČILIŠTA U ZAGREBU (IZ EVIDENCIJSKIH PRIHODA)</v>
      </c>
      <c r="I172" s="198">
        <v>10000</v>
      </c>
      <c r="J172" s="198">
        <v>10222</v>
      </c>
      <c r="K172" s="198">
        <v>10316.0424</v>
      </c>
      <c r="M172" s="144" t="str">
        <f t="shared" si="23"/>
        <v>324</v>
      </c>
      <c r="N172" s="144" t="str">
        <f t="shared" si="24"/>
        <v>32</v>
      </c>
    </row>
    <row r="173" spans="1:14">
      <c r="A173" s="148" t="str">
        <f>IF(C173="","",VLOOKUP('Opći dio'!$C$3,'Opći dio'!$L$6:$U$135,10,FALSE))</f>
        <v>08006</v>
      </c>
      <c r="B173" s="148" t="str">
        <f>IF(C173="","",VLOOKUP('Opći dio'!$C$3,'Opći dio'!$L$6:$U$135,9,FALSE))</f>
        <v>Sveučilišta i veleučilišta u Republici Hrvatskoj</v>
      </c>
      <c r="C173" s="154">
        <v>71</v>
      </c>
      <c r="D173" s="149" t="str">
        <f t="shared" si="21"/>
        <v>Prihodi od nefin. imovine i nadoknade štete s osnova osig.</v>
      </c>
      <c r="E173" s="154">
        <v>3223</v>
      </c>
      <c r="F173" s="149" t="str">
        <f t="shared" si="20"/>
        <v>Energija</v>
      </c>
      <c r="G173" s="201" t="s">
        <v>165</v>
      </c>
      <c r="H173" s="149" t="str">
        <f t="shared" si="22"/>
        <v>REDOVNA DJELATNOST SVEUČILIŠTA U ZAGREBU (IZ EVIDENCIJSKIH PRIHODA)</v>
      </c>
      <c r="I173" s="198">
        <v>3500</v>
      </c>
      <c r="J173" s="198">
        <v>3500</v>
      </c>
      <c r="K173" s="198">
        <v>3500</v>
      </c>
      <c r="M173" s="144" t="str">
        <f t="shared" si="23"/>
        <v>322</v>
      </c>
      <c r="N173" s="144" t="str">
        <f t="shared" si="24"/>
        <v>32</v>
      </c>
    </row>
    <row r="174" spans="1:14">
      <c r="A174" s="148" t="str">
        <f>IF(C174="","",VLOOKUP('Opći dio'!$C$3,'Opći dio'!$L$6:$U$135,10,FALSE))</f>
        <v>08006</v>
      </c>
      <c r="B174" s="148" t="str">
        <f>IF(C174="","",VLOOKUP('Opći dio'!$C$3,'Opći dio'!$L$6:$U$135,9,FALSE))</f>
        <v>Sveučilišta i veleučilišta u Republici Hrvatskoj</v>
      </c>
      <c r="C174" s="154">
        <v>71</v>
      </c>
      <c r="D174" s="149" t="str">
        <f t="shared" si="21"/>
        <v>Prihodi od nefin. imovine i nadoknade štete s osnova osig.</v>
      </c>
      <c r="E174" s="154">
        <v>3232</v>
      </c>
      <c r="F174" s="149" t="str">
        <f t="shared" si="20"/>
        <v>Usluge tekućeg i investicijskog održavanja</v>
      </c>
      <c r="G174" s="201" t="s">
        <v>165</v>
      </c>
      <c r="H174" s="149" t="str">
        <f t="shared" si="22"/>
        <v>REDOVNA DJELATNOST SVEUČILIŠTA U ZAGREBU (IZ EVIDENCIJSKIH PRIHODA)</v>
      </c>
      <c r="I174" s="198">
        <v>2000</v>
      </c>
      <c r="J174" s="198">
        <v>2000</v>
      </c>
      <c r="K174" s="198">
        <v>2000</v>
      </c>
      <c r="M174" s="144" t="str">
        <f t="shared" si="23"/>
        <v>323</v>
      </c>
      <c r="N174" s="144" t="str">
        <f t="shared" si="24"/>
        <v>32</v>
      </c>
    </row>
    <row r="175" spans="1:14">
      <c r="A175" s="148" t="str">
        <f>IF(C175="","",VLOOKUP('Opći dio'!$C$3,'Opći dio'!$L$6:$U$135,10,FALSE))</f>
        <v>08006</v>
      </c>
      <c r="B175" s="148" t="str">
        <f>IF(C175="","",VLOOKUP('Opći dio'!$C$3,'Opći dio'!$L$6:$U$135,9,FALSE))</f>
        <v>Sveučilišta i veleučilišta u Republici Hrvatskoj</v>
      </c>
      <c r="C175" s="154">
        <v>11</v>
      </c>
      <c r="D175" s="149" t="str">
        <f t="shared" si="21"/>
        <v>Opći prihodi i primici</v>
      </c>
      <c r="E175" s="154">
        <v>3211</v>
      </c>
      <c r="F175" s="149" t="str">
        <f t="shared" si="20"/>
        <v>Službena putovanja</v>
      </c>
      <c r="G175" s="201" t="s">
        <v>863</v>
      </c>
      <c r="H175" s="149" t="str">
        <f t="shared" si="22"/>
        <v>PROGRAMSKO FINANCIRANJE JAVNIH VISOKIH UČILIŠTA</v>
      </c>
      <c r="I175" s="198">
        <v>498908.6495156443</v>
      </c>
      <c r="J175" s="198">
        <v>509984.42153489159</v>
      </c>
      <c r="K175" s="198">
        <v>509984.42153489159</v>
      </c>
      <c r="M175" s="144" t="str">
        <f t="shared" si="23"/>
        <v>321</v>
      </c>
      <c r="N175" s="144" t="str">
        <f t="shared" si="24"/>
        <v>32</v>
      </c>
    </row>
    <row r="176" spans="1:14">
      <c r="A176" s="148" t="str">
        <f>IF(C176="","",VLOOKUP('Opći dio'!$C$3,'Opći dio'!$L$6:$U$135,10,FALSE))</f>
        <v>08006</v>
      </c>
      <c r="B176" s="148" t="str">
        <f>IF(C176="","",VLOOKUP('Opći dio'!$C$3,'Opći dio'!$L$6:$U$135,9,FALSE))</f>
        <v>Sveučilišta i veleučilišta u Republici Hrvatskoj</v>
      </c>
      <c r="C176" s="154">
        <v>11</v>
      </c>
      <c r="D176" s="149" t="str">
        <f t="shared" si="21"/>
        <v>Opći prihodi i primici</v>
      </c>
      <c r="E176" s="154">
        <v>3212</v>
      </c>
      <c r="F176" s="149" t="str">
        <f t="shared" si="20"/>
        <v>Naknade za prijevoz, za rad na terenu i odvojeni život</v>
      </c>
      <c r="G176" s="201" t="s">
        <v>863</v>
      </c>
      <c r="H176" s="149" t="str">
        <f t="shared" si="22"/>
        <v>PROGRAMSKO FINANCIRANJE JAVNIH VISOKIH UČILIŠTA</v>
      </c>
      <c r="I176" s="198">
        <v>345319.00328045629</v>
      </c>
      <c r="J176" s="198">
        <v>352985.08515328245</v>
      </c>
      <c r="K176" s="198">
        <v>352985.08515328245</v>
      </c>
      <c r="M176" s="144" t="str">
        <f t="shared" si="23"/>
        <v>321</v>
      </c>
      <c r="N176" s="144" t="str">
        <f t="shared" si="24"/>
        <v>32</v>
      </c>
    </row>
    <row r="177" spans="1:14">
      <c r="A177" s="148" t="str">
        <f>IF(C177="","",VLOOKUP('Opći dio'!$C$3,'Opći dio'!$L$6:$U$135,10,FALSE))</f>
        <v>08006</v>
      </c>
      <c r="B177" s="148" t="str">
        <f>IF(C177="","",VLOOKUP('Opći dio'!$C$3,'Opći dio'!$L$6:$U$135,9,FALSE))</f>
        <v>Sveučilišta i veleučilišta u Republici Hrvatskoj</v>
      </c>
      <c r="C177" s="154">
        <v>11</v>
      </c>
      <c r="D177" s="149" t="str">
        <f t="shared" si="21"/>
        <v>Opći prihodi i primici</v>
      </c>
      <c r="E177" s="154">
        <v>3213</v>
      </c>
      <c r="F177" s="149" t="str">
        <f t="shared" si="20"/>
        <v>Stručno usavršavanje zaposlenika</v>
      </c>
      <c r="G177" s="201" t="s">
        <v>863</v>
      </c>
      <c r="H177" s="149" t="str">
        <f t="shared" si="22"/>
        <v>PROGRAMSKO FINANCIRANJE JAVNIH VISOKIH UČILIŠTA</v>
      </c>
      <c r="I177" s="198">
        <v>86832.267280111744</v>
      </c>
      <c r="J177" s="198">
        <v>88759.943613730225</v>
      </c>
      <c r="K177" s="198">
        <v>88759.943613730225</v>
      </c>
      <c r="M177" s="144" t="str">
        <f t="shared" si="23"/>
        <v>321</v>
      </c>
      <c r="N177" s="144" t="str">
        <f t="shared" si="24"/>
        <v>32</v>
      </c>
    </row>
    <row r="178" spans="1:14">
      <c r="A178" s="148" t="str">
        <f>IF(C178="","",VLOOKUP('Opći dio'!$C$3,'Opći dio'!$L$6:$U$135,10,FALSE))</f>
        <v>08006</v>
      </c>
      <c r="B178" s="148" t="str">
        <f>IF(C178="","",VLOOKUP('Opći dio'!$C$3,'Opći dio'!$L$6:$U$135,9,FALSE))</f>
        <v>Sveučilišta i veleučilišta u Republici Hrvatskoj</v>
      </c>
      <c r="C178" s="154">
        <v>11</v>
      </c>
      <c r="D178" s="149" t="str">
        <f t="shared" si="21"/>
        <v>Opći prihodi i primici</v>
      </c>
      <c r="E178" s="154">
        <v>3214</v>
      </c>
      <c r="F178" s="149" t="str">
        <f t="shared" si="20"/>
        <v>Ostale naknade troškova zaposlenima</v>
      </c>
      <c r="G178" s="201" t="s">
        <v>863</v>
      </c>
      <c r="H178" s="149" t="str">
        <f t="shared" si="22"/>
        <v>PROGRAMSKO FINANCIRANJE JAVNIH VISOKIH UČILIŠTA</v>
      </c>
      <c r="I178" s="198">
        <v>8160.5237093640162</v>
      </c>
      <c r="J178" s="198">
        <v>8341.6873357118966</v>
      </c>
      <c r="K178" s="198">
        <v>8341.6873357118966</v>
      </c>
      <c r="M178" s="144" t="str">
        <f t="shared" si="23"/>
        <v>321</v>
      </c>
      <c r="N178" s="144" t="str">
        <f t="shared" si="24"/>
        <v>32</v>
      </c>
    </row>
    <row r="179" spans="1:14">
      <c r="A179" s="148" t="str">
        <f>IF(C179="","",VLOOKUP('Opći dio'!$C$3,'Opći dio'!$L$6:$U$135,10,FALSE))</f>
        <v>08006</v>
      </c>
      <c r="B179" s="148" t="str">
        <f>IF(C179="","",VLOOKUP('Opći dio'!$C$3,'Opći dio'!$L$6:$U$135,9,FALSE))</f>
        <v>Sveučilišta i veleučilišta u Republici Hrvatskoj</v>
      </c>
      <c r="C179" s="154">
        <v>11</v>
      </c>
      <c r="D179" s="149" t="str">
        <f t="shared" si="21"/>
        <v>Opći prihodi i primici</v>
      </c>
      <c r="E179" s="154">
        <v>3221</v>
      </c>
      <c r="F179" s="149" t="str">
        <f t="shared" si="20"/>
        <v>Uredski materijal i ostali materijalni rashodi</v>
      </c>
      <c r="G179" s="201" t="s">
        <v>863</v>
      </c>
      <c r="H179" s="149" t="str">
        <f t="shared" si="22"/>
        <v>PROGRAMSKO FINANCIRANJE JAVNIH VISOKIH UČILIŠTA</v>
      </c>
      <c r="I179" s="198">
        <v>44174.203342531007</v>
      </c>
      <c r="J179" s="198">
        <v>45154.870656735198</v>
      </c>
      <c r="K179" s="198">
        <v>45154.870656735198</v>
      </c>
      <c r="M179" s="144" t="str">
        <f t="shared" si="23"/>
        <v>322</v>
      </c>
      <c r="N179" s="144" t="str">
        <f t="shared" si="24"/>
        <v>32</v>
      </c>
    </row>
    <row r="180" spans="1:14">
      <c r="A180" s="148" t="str">
        <f>IF(C180="","",VLOOKUP('Opći dio'!$C$3,'Opći dio'!$L$6:$U$135,10,FALSE))</f>
        <v>08006</v>
      </c>
      <c r="B180" s="148" t="str">
        <f>IF(C180="","",VLOOKUP('Opći dio'!$C$3,'Opći dio'!$L$6:$U$135,9,FALSE))</f>
        <v>Sveučilišta i veleučilišta u Republici Hrvatskoj</v>
      </c>
      <c r="C180" s="154">
        <v>11</v>
      </c>
      <c r="D180" s="149" t="str">
        <f t="shared" si="21"/>
        <v>Opći prihodi i primici</v>
      </c>
      <c r="E180" s="154">
        <v>3222</v>
      </c>
      <c r="F180" s="149" t="str">
        <f t="shared" si="20"/>
        <v>Materijal i sirovine</v>
      </c>
      <c r="G180" s="201" t="s">
        <v>863</v>
      </c>
      <c r="H180" s="149" t="str">
        <f t="shared" si="22"/>
        <v>PROGRAMSKO FINANCIRANJE JAVNIH VISOKIH UČILIŠTA</v>
      </c>
      <c r="I180" s="198">
        <v>108580.92196806258</v>
      </c>
      <c r="J180" s="198">
        <v>110991.41843575357</v>
      </c>
      <c r="K180" s="198">
        <v>110991.41843575357</v>
      </c>
      <c r="M180" s="144" t="str">
        <f t="shared" si="23"/>
        <v>322</v>
      </c>
      <c r="N180" s="144" t="str">
        <f t="shared" si="24"/>
        <v>32</v>
      </c>
    </row>
    <row r="181" spans="1:14">
      <c r="A181" s="148" t="str">
        <f>IF(C181="","",VLOOKUP('Opći dio'!$C$3,'Opći dio'!$L$6:$U$135,10,FALSE))</f>
        <v>08006</v>
      </c>
      <c r="B181" s="148" t="str">
        <f>IF(C181="","",VLOOKUP('Opći dio'!$C$3,'Opći dio'!$L$6:$U$135,9,FALSE))</f>
        <v>Sveučilišta i veleučilišta u Republici Hrvatskoj</v>
      </c>
      <c r="C181" s="154">
        <v>11</v>
      </c>
      <c r="D181" s="149" t="str">
        <f t="shared" si="21"/>
        <v>Opći prihodi i primici</v>
      </c>
      <c r="E181" s="154">
        <v>3223</v>
      </c>
      <c r="F181" s="149" t="str">
        <f t="shared" si="20"/>
        <v>Energija</v>
      </c>
      <c r="G181" s="201" t="s">
        <v>863</v>
      </c>
      <c r="H181" s="149" t="str">
        <f t="shared" si="22"/>
        <v>PROGRAMSKO FINANCIRANJE JAVNIH VISOKIH UČILIŠTA</v>
      </c>
      <c r="I181" s="198">
        <v>171653.80637407204</v>
      </c>
      <c r="J181" s="198">
        <v>518677.33781105449</v>
      </c>
      <c r="K181" s="198">
        <v>518677.33781105449</v>
      </c>
      <c r="M181" s="144" t="str">
        <f t="shared" si="23"/>
        <v>322</v>
      </c>
      <c r="N181" s="144" t="str">
        <f t="shared" si="24"/>
        <v>32</v>
      </c>
    </row>
    <row r="182" spans="1:14">
      <c r="A182" s="148" t="str">
        <f>IF(C182="","",VLOOKUP('Opći dio'!$C$3,'Opći dio'!$L$6:$U$135,10,FALSE))</f>
        <v>08006</v>
      </c>
      <c r="B182" s="148" t="str">
        <f>IF(C182="","",VLOOKUP('Opći dio'!$C$3,'Opći dio'!$L$6:$U$135,9,FALSE))</f>
        <v>Sveučilišta i veleučilišta u Republici Hrvatskoj</v>
      </c>
      <c r="C182" s="154">
        <v>11</v>
      </c>
      <c r="D182" s="149" t="str">
        <f t="shared" si="21"/>
        <v>Opći prihodi i primici</v>
      </c>
      <c r="E182" s="154">
        <v>3224</v>
      </c>
      <c r="F182" s="149" t="str">
        <f t="shared" si="20"/>
        <v>Materijal i dijelovi za tekuće i investicijsko održavanje</v>
      </c>
      <c r="G182" s="201" t="s">
        <v>863</v>
      </c>
      <c r="H182" s="149" t="str">
        <f t="shared" si="22"/>
        <v>PROGRAMSKO FINANCIRANJE JAVNIH VISOKIH UČILIŠTA</v>
      </c>
      <c r="I182" s="198">
        <v>56049.912845894956</v>
      </c>
      <c r="J182" s="198">
        <v>57294.220911073826</v>
      </c>
      <c r="K182" s="198">
        <v>57294.220911073826</v>
      </c>
      <c r="M182" s="144" t="str">
        <f t="shared" si="23"/>
        <v>322</v>
      </c>
      <c r="N182" s="144" t="str">
        <f t="shared" si="24"/>
        <v>32</v>
      </c>
    </row>
    <row r="183" spans="1:14">
      <c r="A183" s="148" t="str">
        <f>IF(C183="","",VLOOKUP('Opći dio'!$C$3,'Opći dio'!$L$6:$U$135,10,FALSE))</f>
        <v>08006</v>
      </c>
      <c r="B183" s="148" t="str">
        <f>IF(C183="","",VLOOKUP('Opći dio'!$C$3,'Opći dio'!$L$6:$U$135,9,FALSE))</f>
        <v>Sveučilišta i veleučilišta u Republici Hrvatskoj</v>
      </c>
      <c r="C183" s="154">
        <v>11</v>
      </c>
      <c r="D183" s="149" t="str">
        <f t="shared" si="21"/>
        <v>Opći prihodi i primici</v>
      </c>
      <c r="E183" s="154">
        <v>3225</v>
      </c>
      <c r="F183" s="149" t="str">
        <f t="shared" si="20"/>
        <v>Sitni inventar i auto gume</v>
      </c>
      <c r="G183" s="201" t="s">
        <v>863</v>
      </c>
      <c r="H183" s="149" t="str">
        <f t="shared" si="22"/>
        <v>PROGRAMSKO FINANCIRANJE JAVNIH VISOKIH UČILIŠTA</v>
      </c>
      <c r="I183" s="198">
        <v>43680.276907490552</v>
      </c>
      <c r="J183" s="198">
        <v>44649.97905483684</v>
      </c>
      <c r="K183" s="198">
        <v>44649.97905483684</v>
      </c>
      <c r="M183" s="144" t="str">
        <f t="shared" si="23"/>
        <v>322</v>
      </c>
      <c r="N183" s="144" t="str">
        <f t="shared" si="24"/>
        <v>32</v>
      </c>
    </row>
    <row r="184" spans="1:14">
      <c r="A184" s="148" t="str">
        <f>IF(C184="","",VLOOKUP('Opći dio'!$C$3,'Opći dio'!$L$6:$U$135,10,FALSE))</f>
        <v>08006</v>
      </c>
      <c r="B184" s="148" t="str">
        <f>IF(C184="","",VLOOKUP('Opći dio'!$C$3,'Opći dio'!$L$6:$U$135,9,FALSE))</f>
        <v>Sveučilišta i veleučilišta u Republici Hrvatskoj</v>
      </c>
      <c r="C184" s="154">
        <v>11</v>
      </c>
      <c r="D184" s="149" t="str">
        <f t="shared" si="21"/>
        <v>Opći prihodi i primici</v>
      </c>
      <c r="E184" s="154">
        <v>3227</v>
      </c>
      <c r="F184" s="149" t="str">
        <f t="shared" si="20"/>
        <v>Službena, radna i zaštitna odjeća i obuća</v>
      </c>
      <c r="G184" s="201" t="s">
        <v>863</v>
      </c>
      <c r="H184" s="149" t="str">
        <f t="shared" si="22"/>
        <v>PROGRAMSKO FINANCIRANJE JAVNIH VISOKIH UČILIŠTA</v>
      </c>
      <c r="I184" s="198">
        <v>4509.763102543272</v>
      </c>
      <c r="J184" s="198">
        <v>4609.8798434197324</v>
      </c>
      <c r="K184" s="198">
        <v>4609.8798434197324</v>
      </c>
      <c r="M184" s="144" t="str">
        <f t="shared" si="23"/>
        <v>322</v>
      </c>
      <c r="N184" s="144" t="str">
        <f t="shared" si="24"/>
        <v>32</v>
      </c>
    </row>
    <row r="185" spans="1:14">
      <c r="A185" s="148" t="str">
        <f>IF(C185="","",VLOOKUP('Opći dio'!$C$3,'Opći dio'!$L$6:$U$135,10,FALSE))</f>
        <v>08006</v>
      </c>
      <c r="B185" s="148" t="str">
        <f>IF(C185="","",VLOOKUP('Opći dio'!$C$3,'Opći dio'!$L$6:$U$135,9,FALSE))</f>
        <v>Sveučilišta i veleučilišta u Republici Hrvatskoj</v>
      </c>
      <c r="C185" s="154">
        <v>11</v>
      </c>
      <c r="D185" s="149" t="str">
        <f t="shared" si="21"/>
        <v>Opći prihodi i primici</v>
      </c>
      <c r="E185" s="154">
        <v>3231</v>
      </c>
      <c r="F185" s="149" t="str">
        <f t="shared" si="20"/>
        <v>Usluge telefona, pošte i prijevoza</v>
      </c>
      <c r="G185" s="201" t="s">
        <v>863</v>
      </c>
      <c r="H185" s="149" t="str">
        <f t="shared" si="22"/>
        <v>PROGRAMSKO FINANCIRANJE JAVNIH VISOKIH UČILIŠTA</v>
      </c>
      <c r="I185" s="198">
        <v>81648.18721842629</v>
      </c>
      <c r="J185" s="198">
        <v>83460.776974675347</v>
      </c>
      <c r="K185" s="198">
        <v>83460.776974675347</v>
      </c>
      <c r="M185" s="144" t="str">
        <f t="shared" si="23"/>
        <v>323</v>
      </c>
      <c r="N185" s="144" t="str">
        <f t="shared" si="24"/>
        <v>32</v>
      </c>
    </row>
    <row r="186" spans="1:14">
      <c r="A186" s="148" t="str">
        <f>IF(C186="","",VLOOKUP('Opći dio'!$C$3,'Opći dio'!$L$6:$U$135,10,FALSE))</f>
        <v>08006</v>
      </c>
      <c r="B186" s="148" t="str">
        <f>IF(C186="","",VLOOKUP('Opći dio'!$C$3,'Opći dio'!$L$6:$U$135,9,FALSE))</f>
        <v>Sveučilišta i veleučilišta u Republici Hrvatskoj</v>
      </c>
      <c r="C186" s="154">
        <v>11</v>
      </c>
      <c r="D186" s="149" t="str">
        <f t="shared" si="21"/>
        <v>Opći prihodi i primici</v>
      </c>
      <c r="E186" s="154">
        <v>3232</v>
      </c>
      <c r="F186" s="149" t="str">
        <f t="shared" si="20"/>
        <v>Usluge tekućeg i investicijskog održavanja</v>
      </c>
      <c r="G186" s="201" t="s">
        <v>863</v>
      </c>
      <c r="H186" s="149" t="str">
        <f t="shared" si="22"/>
        <v>PROGRAMSKO FINANCIRANJE JAVNIH VISOKIH UČILIŠTA</v>
      </c>
      <c r="I186" s="198">
        <v>244600.96065698986</v>
      </c>
      <c r="J186" s="198">
        <v>250031.10198357503</v>
      </c>
      <c r="K186" s="198">
        <v>250031.10198357503</v>
      </c>
      <c r="M186" s="144" t="str">
        <f t="shared" si="23"/>
        <v>323</v>
      </c>
      <c r="N186" s="144" t="str">
        <f t="shared" si="24"/>
        <v>32</v>
      </c>
    </row>
    <row r="187" spans="1:14">
      <c r="A187" s="148" t="str">
        <f>IF(C187="","",VLOOKUP('Opći dio'!$C$3,'Opći dio'!$L$6:$U$135,10,FALSE))</f>
        <v>08006</v>
      </c>
      <c r="B187" s="148" t="str">
        <f>IF(C187="","",VLOOKUP('Opći dio'!$C$3,'Opći dio'!$L$6:$U$135,9,FALSE))</f>
        <v>Sveučilišta i veleučilišta u Republici Hrvatskoj</v>
      </c>
      <c r="C187" s="154">
        <v>11</v>
      </c>
      <c r="D187" s="149" t="str">
        <f t="shared" si="21"/>
        <v>Opći prihodi i primici</v>
      </c>
      <c r="E187" s="154">
        <v>3233</v>
      </c>
      <c r="F187" s="149" t="str">
        <f t="shared" si="20"/>
        <v>Usluge promidžbe i informiranja</v>
      </c>
      <c r="G187" s="201" t="s">
        <v>863</v>
      </c>
      <c r="H187" s="149" t="str">
        <f t="shared" si="22"/>
        <v>PROGRAMSKO FINANCIRANJE JAVNIH VISOKIH UČILIŠTA</v>
      </c>
      <c r="I187" s="198">
        <v>49049.042505756355</v>
      </c>
      <c r="J187" s="198">
        <v>50137.931249384143</v>
      </c>
      <c r="K187" s="198">
        <v>50137.931249384143</v>
      </c>
      <c r="M187" s="144" t="str">
        <f t="shared" si="23"/>
        <v>323</v>
      </c>
      <c r="N187" s="144" t="str">
        <f t="shared" si="24"/>
        <v>32</v>
      </c>
    </row>
    <row r="188" spans="1:14">
      <c r="A188" s="148" t="str">
        <f>IF(C188="","",VLOOKUP('Opći dio'!$C$3,'Opći dio'!$L$6:$U$135,10,FALSE))</f>
        <v>08006</v>
      </c>
      <c r="B188" s="148" t="str">
        <f>IF(C188="","",VLOOKUP('Opći dio'!$C$3,'Opći dio'!$L$6:$U$135,9,FALSE))</f>
        <v>Sveučilišta i veleučilišta u Republici Hrvatskoj</v>
      </c>
      <c r="C188" s="154">
        <v>11</v>
      </c>
      <c r="D188" s="149" t="str">
        <f t="shared" si="21"/>
        <v>Opći prihodi i primici</v>
      </c>
      <c r="E188" s="154">
        <v>3234</v>
      </c>
      <c r="F188" s="149" t="str">
        <f t="shared" si="20"/>
        <v>Komunalne usluge</v>
      </c>
      <c r="G188" s="201" t="s">
        <v>863</v>
      </c>
      <c r="H188" s="149" t="str">
        <f t="shared" si="22"/>
        <v>PROGRAMSKO FINANCIRANJE JAVNIH VISOKIH UČILIŠTA</v>
      </c>
      <c r="I188" s="198">
        <v>304473.43460885005</v>
      </c>
      <c r="J188" s="198">
        <v>311232.74485716654</v>
      </c>
      <c r="K188" s="198">
        <v>311232.74485716654</v>
      </c>
      <c r="M188" s="144" t="str">
        <f t="shared" si="23"/>
        <v>323</v>
      </c>
      <c r="N188" s="144" t="str">
        <f t="shared" si="24"/>
        <v>32</v>
      </c>
    </row>
    <row r="189" spans="1:14">
      <c r="A189" s="148" t="str">
        <f>IF(C189="","",VLOOKUP('Opći dio'!$C$3,'Opći dio'!$L$6:$U$135,10,FALSE))</f>
        <v>08006</v>
      </c>
      <c r="B189" s="148" t="str">
        <f>IF(C189="","",VLOOKUP('Opći dio'!$C$3,'Opći dio'!$L$6:$U$135,9,FALSE))</f>
        <v>Sveučilišta i veleučilišta u Republici Hrvatskoj</v>
      </c>
      <c r="C189" s="154">
        <v>11</v>
      </c>
      <c r="D189" s="149" t="str">
        <f t="shared" si="21"/>
        <v>Opći prihodi i primici</v>
      </c>
      <c r="E189" s="154">
        <v>3235</v>
      </c>
      <c r="F189" s="149" t="str">
        <f t="shared" si="20"/>
        <v>Zakupnine i najamnine</v>
      </c>
      <c r="G189" s="201" t="s">
        <v>863</v>
      </c>
      <c r="H189" s="149" t="str">
        <f t="shared" si="22"/>
        <v>PROGRAMSKO FINANCIRANJE JAVNIH VISOKIH UČILIŠTA</v>
      </c>
      <c r="I189" s="198">
        <v>72156.209640692352</v>
      </c>
      <c r="J189" s="198">
        <v>73758.077494715719</v>
      </c>
      <c r="K189" s="198">
        <v>73758.077494715719</v>
      </c>
      <c r="M189" s="144" t="str">
        <f t="shared" si="23"/>
        <v>323</v>
      </c>
      <c r="N189" s="144" t="str">
        <f t="shared" si="24"/>
        <v>32</v>
      </c>
    </row>
    <row r="190" spans="1:14">
      <c r="A190" s="148" t="str">
        <f>IF(C190="","",VLOOKUP('Opći dio'!$C$3,'Opći dio'!$L$6:$U$135,10,FALSE))</f>
        <v>08006</v>
      </c>
      <c r="B190" s="148" t="str">
        <f>IF(C190="","",VLOOKUP('Opći dio'!$C$3,'Opći dio'!$L$6:$U$135,9,FALSE))</f>
        <v>Sveučilišta i veleučilišta u Republici Hrvatskoj</v>
      </c>
      <c r="C190" s="154">
        <v>11</v>
      </c>
      <c r="D190" s="149" t="str">
        <f t="shared" si="21"/>
        <v>Opći prihodi i primici</v>
      </c>
      <c r="E190" s="154">
        <v>3236</v>
      </c>
      <c r="F190" s="149" t="str">
        <f t="shared" si="20"/>
        <v>Zdravstvene i veterinarske usluge</v>
      </c>
      <c r="G190" s="201" t="s">
        <v>863</v>
      </c>
      <c r="H190" s="149" t="str">
        <f t="shared" si="22"/>
        <v>PROGRAMSKO FINANCIRANJE JAVNIH VISOKIH UČILIŠTA</v>
      </c>
      <c r="I190" s="198">
        <v>86759.252067975336</v>
      </c>
      <c r="J190" s="198">
        <v>88685.307463884383</v>
      </c>
      <c r="K190" s="198">
        <v>88685.307463884383</v>
      </c>
      <c r="M190" s="144" t="str">
        <f t="shared" si="23"/>
        <v>323</v>
      </c>
      <c r="N190" s="144" t="str">
        <f t="shared" si="24"/>
        <v>32</v>
      </c>
    </row>
    <row r="191" spans="1:14">
      <c r="A191" s="148" t="str">
        <f>IF(C191="","",VLOOKUP('Opći dio'!$C$3,'Opći dio'!$L$6:$U$135,10,FALSE))</f>
        <v>08006</v>
      </c>
      <c r="B191" s="148" t="str">
        <f>IF(C191="","",VLOOKUP('Opći dio'!$C$3,'Opći dio'!$L$6:$U$135,9,FALSE))</f>
        <v>Sveučilišta i veleučilišta u Republici Hrvatskoj</v>
      </c>
      <c r="C191" s="154">
        <v>11</v>
      </c>
      <c r="D191" s="149" t="str">
        <f t="shared" si="21"/>
        <v>Opći prihodi i primici</v>
      </c>
      <c r="E191" s="154">
        <v>3237</v>
      </c>
      <c r="F191" s="149" t="str">
        <f t="shared" si="20"/>
        <v>Intelektualne i osobne usluge</v>
      </c>
      <c r="G191" s="201" t="s">
        <v>863</v>
      </c>
      <c r="H191" s="149" t="str">
        <f t="shared" si="22"/>
        <v>PROGRAMSKO FINANCIRANJE JAVNIH VISOKIH UČILIŠTA</v>
      </c>
      <c r="I191" s="198">
        <v>202445.41317940681</v>
      </c>
      <c r="J191" s="198">
        <v>206939.70135198964</v>
      </c>
      <c r="K191" s="198">
        <v>206939.70135198964</v>
      </c>
      <c r="M191" s="144" t="str">
        <f t="shared" si="23"/>
        <v>323</v>
      </c>
      <c r="N191" s="144" t="str">
        <f t="shared" si="24"/>
        <v>32</v>
      </c>
    </row>
    <row r="192" spans="1:14">
      <c r="A192" s="148" t="str">
        <f>IF(C192="","",VLOOKUP('Opći dio'!$C$3,'Opći dio'!$L$6:$U$135,10,FALSE))</f>
        <v>08006</v>
      </c>
      <c r="B192" s="148" t="str">
        <f>IF(C192="","",VLOOKUP('Opći dio'!$C$3,'Opći dio'!$L$6:$U$135,9,FALSE))</f>
        <v>Sveučilišta i veleučilišta u Republici Hrvatskoj</v>
      </c>
      <c r="C192" s="154">
        <v>11</v>
      </c>
      <c r="D192" s="149" t="str">
        <f t="shared" si="21"/>
        <v>Opći prihodi i primici</v>
      </c>
      <c r="E192" s="154">
        <v>3238</v>
      </c>
      <c r="F192" s="149" t="str">
        <f t="shared" si="20"/>
        <v>Računalne usluge</v>
      </c>
      <c r="G192" s="201" t="s">
        <v>863</v>
      </c>
      <c r="H192" s="149" t="str">
        <f t="shared" si="22"/>
        <v>PROGRAMSKO FINANCIRANJE JAVNIH VISOKIH UČILIŠTA</v>
      </c>
      <c r="I192" s="198">
        <v>95284.851838021423</v>
      </c>
      <c r="J192" s="198">
        <v>97400.1755488255</v>
      </c>
      <c r="K192" s="198">
        <v>97400.1755488255</v>
      </c>
      <c r="M192" s="144" t="str">
        <f t="shared" si="23"/>
        <v>323</v>
      </c>
      <c r="N192" s="144" t="str">
        <f t="shared" si="24"/>
        <v>32</v>
      </c>
    </row>
    <row r="193" spans="1:14">
      <c r="A193" s="148" t="str">
        <f>IF(C193="","",VLOOKUP('Opći dio'!$C$3,'Opći dio'!$L$6:$U$135,10,FALSE))</f>
        <v>08006</v>
      </c>
      <c r="B193" s="148" t="str">
        <f>IF(C193="","",VLOOKUP('Opći dio'!$C$3,'Opći dio'!$L$6:$U$135,9,FALSE))</f>
        <v>Sveučilišta i veleučilišta u Republici Hrvatskoj</v>
      </c>
      <c r="C193" s="154">
        <v>11</v>
      </c>
      <c r="D193" s="149" t="str">
        <f t="shared" si="21"/>
        <v>Opći prihodi i primici</v>
      </c>
      <c r="E193" s="154">
        <v>3239</v>
      </c>
      <c r="F193" s="149" t="str">
        <f t="shared" si="20"/>
        <v>Ostale usluge</v>
      </c>
      <c r="G193" s="201" t="s">
        <v>863</v>
      </c>
      <c r="H193" s="149" t="str">
        <f t="shared" si="22"/>
        <v>PROGRAMSKO FINANCIRANJE JAVNIH VISOKIH UČILIŠTA</v>
      </c>
      <c r="I193" s="198">
        <v>217026.9805442967</v>
      </c>
      <c r="J193" s="198">
        <v>221844.97951238009</v>
      </c>
      <c r="K193" s="198">
        <v>221844.97951238009</v>
      </c>
      <c r="M193" s="144" t="str">
        <f t="shared" si="23"/>
        <v>323</v>
      </c>
      <c r="N193" s="144" t="str">
        <f t="shared" si="24"/>
        <v>32</v>
      </c>
    </row>
    <row r="194" spans="1:14">
      <c r="A194" s="148" t="str">
        <f>IF(C194="","",VLOOKUP('Opći dio'!$C$3,'Opći dio'!$L$6:$U$135,10,FALSE))</f>
        <v>08006</v>
      </c>
      <c r="B194" s="148" t="str">
        <f>IF(C194="","",VLOOKUP('Opći dio'!$C$3,'Opći dio'!$L$6:$U$135,9,FALSE))</f>
        <v>Sveučilišta i veleučilišta u Republici Hrvatskoj</v>
      </c>
      <c r="C194" s="154">
        <v>11</v>
      </c>
      <c r="D194" s="149" t="str">
        <f t="shared" si="21"/>
        <v>Opći prihodi i primici</v>
      </c>
      <c r="E194" s="154">
        <v>3241</v>
      </c>
      <c r="F194" s="149" t="str">
        <f t="shared" si="20"/>
        <v>Naknade troškova osobama izvan radnog odnosa</v>
      </c>
      <c r="G194" s="201" t="s">
        <v>863</v>
      </c>
      <c r="H194" s="149" t="str">
        <f t="shared" si="22"/>
        <v>PROGRAMSKO FINANCIRANJE JAVNIH VISOKIH UČILIŠTA</v>
      </c>
      <c r="I194" s="198">
        <v>10565.730697387095</v>
      </c>
      <c r="J194" s="198">
        <v>10800.289918869088</v>
      </c>
      <c r="K194" s="198">
        <v>10800.289918869088</v>
      </c>
      <c r="M194" s="144" t="str">
        <f t="shared" si="23"/>
        <v>324</v>
      </c>
      <c r="N194" s="144" t="str">
        <f t="shared" si="24"/>
        <v>32</v>
      </c>
    </row>
    <row r="195" spans="1:14">
      <c r="A195" s="148" t="str">
        <f>IF(C195="","",VLOOKUP('Opći dio'!$C$3,'Opći dio'!$L$6:$U$135,10,FALSE))</f>
        <v>08006</v>
      </c>
      <c r="B195" s="148" t="str">
        <f>IF(C195="","",VLOOKUP('Opći dio'!$C$3,'Opći dio'!$L$6:$U$135,9,FALSE))</f>
        <v>Sveučilišta i veleučilišta u Republici Hrvatskoj</v>
      </c>
      <c r="C195" s="154">
        <v>11</v>
      </c>
      <c r="D195" s="149" t="str">
        <f t="shared" si="21"/>
        <v>Opći prihodi i primici</v>
      </c>
      <c r="E195" s="154">
        <v>3292</v>
      </c>
      <c r="F195" s="149" t="str">
        <f t="shared" ref="F195:F258" si="25">IFERROR(VLOOKUP(E195,$R$5:$T$129,2,FALSE),"")</f>
        <v>Premije osiguranja</v>
      </c>
      <c r="G195" s="201" t="s">
        <v>863</v>
      </c>
      <c r="H195" s="149" t="str">
        <f t="shared" si="22"/>
        <v>PROGRAMSKO FINANCIRANJE JAVNIH VISOKIH UČILIŠTA</v>
      </c>
      <c r="I195" s="198">
        <v>31138.840469941642</v>
      </c>
      <c r="J195" s="198">
        <v>31830.122728374346</v>
      </c>
      <c r="K195" s="198">
        <v>31830.122728374346</v>
      </c>
      <c r="M195" s="144" t="str">
        <f t="shared" si="23"/>
        <v>329</v>
      </c>
      <c r="N195" s="144" t="str">
        <f t="shared" si="24"/>
        <v>32</v>
      </c>
    </row>
    <row r="196" spans="1:14">
      <c r="A196" s="148" t="str">
        <f>IF(C196="","",VLOOKUP('Opći dio'!$C$3,'Opći dio'!$L$6:$U$135,10,FALSE))</f>
        <v>08006</v>
      </c>
      <c r="B196" s="148" t="str">
        <f>IF(C196="","",VLOOKUP('Opći dio'!$C$3,'Opći dio'!$L$6:$U$135,9,FALSE))</f>
        <v>Sveučilišta i veleučilišta u Republici Hrvatskoj</v>
      </c>
      <c r="C196" s="154">
        <v>11</v>
      </c>
      <c r="D196" s="149" t="str">
        <f t="shared" ref="D196:D259" si="26">IFERROR(VLOOKUP(C196,$O$6:$P$16,2,FALSE),"")</f>
        <v>Opći prihodi i primici</v>
      </c>
      <c r="E196" s="154">
        <v>3293</v>
      </c>
      <c r="F196" s="149" t="str">
        <f t="shared" si="25"/>
        <v>Reprezentacija</v>
      </c>
      <c r="G196" s="201" t="s">
        <v>863</v>
      </c>
      <c r="H196" s="149" t="str">
        <f t="shared" ref="H196:H259" si="27">IFERROR(VLOOKUP(G196,$X$6:$Y$50,2,FALSE),"")</f>
        <v>PROGRAMSKO FINANCIRANJE JAVNIH VISOKIH UČILIŠTA</v>
      </c>
      <c r="I196" s="198">
        <v>103187.67479866868</v>
      </c>
      <c r="J196" s="198">
        <v>105478.44117919913</v>
      </c>
      <c r="K196" s="198">
        <v>105478.44117919913</v>
      </c>
      <c r="M196" s="144" t="str">
        <f t="shared" ref="M196:M259" si="28">LEFT(E196,3)</f>
        <v>329</v>
      </c>
      <c r="N196" s="144" t="str">
        <f t="shared" ref="N196:N259" si="29">LEFT(E196,2)</f>
        <v>32</v>
      </c>
    </row>
    <row r="197" spans="1:14">
      <c r="A197" s="148" t="str">
        <f>IF(C197="","",VLOOKUP('Opći dio'!$C$3,'Opći dio'!$L$6:$U$135,10,FALSE))</f>
        <v>08006</v>
      </c>
      <c r="B197" s="148" t="str">
        <f>IF(C197="","",VLOOKUP('Opći dio'!$C$3,'Opći dio'!$L$6:$U$135,9,FALSE))</f>
        <v>Sveučilišta i veleučilišta u Republici Hrvatskoj</v>
      </c>
      <c r="C197" s="154">
        <v>11</v>
      </c>
      <c r="D197" s="149" t="str">
        <f t="shared" si="26"/>
        <v>Opći prihodi i primici</v>
      </c>
      <c r="E197" s="154">
        <v>3294</v>
      </c>
      <c r="F197" s="149" t="str">
        <f t="shared" si="25"/>
        <v>Članarine i norme</v>
      </c>
      <c r="G197" s="201" t="s">
        <v>863</v>
      </c>
      <c r="H197" s="149" t="str">
        <f t="shared" si="27"/>
        <v>PROGRAMSKO FINANCIRANJE JAVNIH VISOKIH UČILIŠTA</v>
      </c>
      <c r="I197" s="198">
        <v>8740.3503939767234</v>
      </c>
      <c r="J197" s="198">
        <v>8934.3861727230069</v>
      </c>
      <c r="K197" s="198">
        <v>8934.3861727230069</v>
      </c>
      <c r="M197" s="144" t="str">
        <f t="shared" si="28"/>
        <v>329</v>
      </c>
      <c r="N197" s="144" t="str">
        <f t="shared" si="29"/>
        <v>32</v>
      </c>
    </row>
    <row r="198" spans="1:14">
      <c r="A198" s="148" t="str">
        <f>IF(C198="","",VLOOKUP('Opći dio'!$C$3,'Opći dio'!$L$6:$U$135,10,FALSE))</f>
        <v>08006</v>
      </c>
      <c r="B198" s="148" t="str">
        <f>IF(C198="","",VLOOKUP('Opći dio'!$C$3,'Opći dio'!$L$6:$U$135,9,FALSE))</f>
        <v>Sveučilišta i veleučilišta u Republici Hrvatskoj</v>
      </c>
      <c r="C198" s="154">
        <v>11</v>
      </c>
      <c r="D198" s="149" t="str">
        <f t="shared" si="26"/>
        <v>Opći prihodi i primici</v>
      </c>
      <c r="E198" s="154">
        <v>3295</v>
      </c>
      <c r="F198" s="149" t="str">
        <f t="shared" si="25"/>
        <v>Pristojbe i naknade</v>
      </c>
      <c r="G198" s="201" t="s">
        <v>863</v>
      </c>
      <c r="H198" s="149" t="str">
        <f t="shared" si="27"/>
        <v>PROGRAMSKO FINANCIRANJE JAVNIH VISOKIH UČILIŠTA</v>
      </c>
      <c r="I198" s="198">
        <v>49478.543753617618</v>
      </c>
      <c r="J198" s="198">
        <v>50576.967424947929</v>
      </c>
      <c r="K198" s="198">
        <v>50576.967424947929</v>
      </c>
      <c r="M198" s="144" t="str">
        <f t="shared" si="28"/>
        <v>329</v>
      </c>
      <c r="N198" s="144" t="str">
        <f t="shared" si="29"/>
        <v>32</v>
      </c>
    </row>
    <row r="199" spans="1:14">
      <c r="A199" s="148" t="str">
        <f>IF(C199="","",VLOOKUP('Opći dio'!$C$3,'Opći dio'!$L$6:$U$135,10,FALSE))</f>
        <v>08006</v>
      </c>
      <c r="B199" s="148" t="str">
        <f>IF(C199="","",VLOOKUP('Opći dio'!$C$3,'Opći dio'!$L$6:$U$135,9,FALSE))</f>
        <v>Sveučilišta i veleučilišta u Republici Hrvatskoj</v>
      </c>
      <c r="C199" s="154">
        <v>11</v>
      </c>
      <c r="D199" s="149" t="str">
        <f t="shared" si="26"/>
        <v>Opći prihodi i primici</v>
      </c>
      <c r="E199" s="154">
        <v>3296</v>
      </c>
      <c r="F199" s="149" t="str">
        <f t="shared" si="25"/>
        <v>Troškovi sudskih postupaka</v>
      </c>
      <c r="G199" s="201" t="s">
        <v>863</v>
      </c>
      <c r="H199" s="149" t="str">
        <f t="shared" si="27"/>
        <v>PROGRAMSKO FINANCIRANJE JAVNIH VISOKIH UČILIŠTA</v>
      </c>
      <c r="I199" s="198">
        <v>12885.037435837921</v>
      </c>
      <c r="J199" s="198">
        <v>13171.085266913524</v>
      </c>
      <c r="K199" s="198">
        <v>13171.085266913524</v>
      </c>
      <c r="M199" s="144" t="str">
        <f t="shared" si="28"/>
        <v>329</v>
      </c>
      <c r="N199" s="144" t="str">
        <f t="shared" si="29"/>
        <v>32</v>
      </c>
    </row>
    <row r="200" spans="1:14">
      <c r="A200" s="148" t="str">
        <f>IF(C200="","",VLOOKUP('Opći dio'!$C$3,'Opći dio'!$L$6:$U$135,10,FALSE))</f>
        <v>08006</v>
      </c>
      <c r="B200" s="148" t="str">
        <f>IF(C200="","",VLOOKUP('Opći dio'!$C$3,'Opći dio'!$L$6:$U$135,9,FALSE))</f>
        <v>Sveučilišta i veleučilišta u Republici Hrvatskoj</v>
      </c>
      <c r="C200" s="154">
        <v>11</v>
      </c>
      <c r="D200" s="149" t="str">
        <f t="shared" si="26"/>
        <v>Opći prihodi i primici</v>
      </c>
      <c r="E200" s="154">
        <v>3299</v>
      </c>
      <c r="F200" s="149" t="str">
        <f t="shared" si="25"/>
        <v>Ostali nespomenuti rashodi poslovanja</v>
      </c>
      <c r="G200" s="201" t="s">
        <v>863</v>
      </c>
      <c r="H200" s="149" t="str">
        <f t="shared" si="27"/>
        <v>PROGRAMSKO FINANCIRANJE JAVNIH VISOKIH UČILIŠTA</v>
      </c>
      <c r="I200" s="198">
        <v>45613.03252286624</v>
      </c>
      <c r="J200" s="198">
        <v>46625.64184487387</v>
      </c>
      <c r="K200" s="198">
        <v>46625.64184487387</v>
      </c>
      <c r="M200" s="144" t="str">
        <f t="shared" si="28"/>
        <v>329</v>
      </c>
      <c r="N200" s="144" t="str">
        <f t="shared" si="29"/>
        <v>32</v>
      </c>
    </row>
    <row r="201" spans="1:14">
      <c r="A201" s="148" t="str">
        <f>IF(C201="","",VLOOKUP('Opći dio'!$C$3,'Opći dio'!$L$6:$U$135,10,FALSE))</f>
        <v>08006</v>
      </c>
      <c r="B201" s="148" t="str">
        <f>IF(C201="","",VLOOKUP('Opći dio'!$C$3,'Opći dio'!$L$6:$U$135,9,FALSE))</f>
        <v>Sveučilišta i veleučilišta u Republici Hrvatskoj</v>
      </c>
      <c r="C201" s="154">
        <v>11</v>
      </c>
      <c r="D201" s="149" t="str">
        <f t="shared" si="26"/>
        <v>Opći prihodi i primici</v>
      </c>
      <c r="E201" s="154">
        <v>3431</v>
      </c>
      <c r="F201" s="149" t="str">
        <f t="shared" si="25"/>
        <v>Bankarske usluge i usluge platnog prometa</v>
      </c>
      <c r="G201" s="201" t="s">
        <v>863</v>
      </c>
      <c r="H201" s="149" t="str">
        <f t="shared" si="27"/>
        <v>PROGRAMSKO FINANCIRANJE JAVNIH VISOKIH UČILIŠTA</v>
      </c>
      <c r="I201" s="198">
        <v>18597.404032392733</v>
      </c>
      <c r="J201" s="198">
        <v>19010.266401911853</v>
      </c>
      <c r="K201" s="198">
        <v>19010.266401911853</v>
      </c>
      <c r="M201" s="144" t="str">
        <f t="shared" si="28"/>
        <v>343</v>
      </c>
      <c r="N201" s="144" t="str">
        <f t="shared" si="29"/>
        <v>34</v>
      </c>
    </row>
    <row r="202" spans="1:14">
      <c r="A202" s="148" t="str">
        <f>IF(C202="","",VLOOKUP('Opći dio'!$C$3,'Opći dio'!$L$6:$U$135,10,FALSE))</f>
        <v>08006</v>
      </c>
      <c r="B202" s="148" t="str">
        <f>IF(C202="","",VLOOKUP('Opći dio'!$C$3,'Opći dio'!$L$6:$U$135,9,FALSE))</f>
        <v>Sveučilišta i veleučilišta u Republici Hrvatskoj</v>
      </c>
      <c r="C202" s="154">
        <v>11</v>
      </c>
      <c r="D202" s="149" t="str">
        <f t="shared" si="26"/>
        <v>Opći prihodi i primici</v>
      </c>
      <c r="E202" s="154">
        <v>3721</v>
      </c>
      <c r="F202" s="149" t="str">
        <f t="shared" si="25"/>
        <v>Naknade građanima i kućanstvima u novcu</v>
      </c>
      <c r="G202" s="201" t="s">
        <v>863</v>
      </c>
      <c r="H202" s="149" t="str">
        <f t="shared" si="27"/>
        <v>PROGRAMSKO FINANCIRANJE JAVNIH VISOKIH UČILIŠTA</v>
      </c>
      <c r="I202" s="198">
        <v>1718.0049914450562</v>
      </c>
      <c r="J202" s="198">
        <v>1756.1447022551365</v>
      </c>
      <c r="K202" s="198">
        <v>1756.1447022551365</v>
      </c>
      <c r="M202" s="144" t="str">
        <f t="shared" si="28"/>
        <v>372</v>
      </c>
      <c r="N202" s="144" t="str">
        <f t="shared" si="29"/>
        <v>37</v>
      </c>
    </row>
    <row r="203" spans="1:14">
      <c r="A203" s="148" t="str">
        <f>IF(C203="","",VLOOKUP('Opći dio'!$C$3,'Opći dio'!$L$6:$U$135,10,FALSE))</f>
        <v>08006</v>
      </c>
      <c r="B203" s="148" t="str">
        <f>IF(C203="","",VLOOKUP('Opći dio'!$C$3,'Opći dio'!$L$6:$U$135,9,FALSE))</f>
        <v>Sveučilišta i veleučilišta u Republici Hrvatskoj</v>
      </c>
      <c r="C203" s="154">
        <v>11</v>
      </c>
      <c r="D203" s="149" t="str">
        <f t="shared" si="26"/>
        <v>Opći prihodi i primici</v>
      </c>
      <c r="E203" s="154">
        <v>3811</v>
      </c>
      <c r="F203" s="149" t="str">
        <f t="shared" si="25"/>
        <v>Tekuće donacije u novcu</v>
      </c>
      <c r="G203" s="201" t="s">
        <v>863</v>
      </c>
      <c r="H203" s="149" t="str">
        <f t="shared" si="27"/>
        <v>PROGRAMSKO FINANCIRANJE JAVNIH VISOKIH UČILIŠTA</v>
      </c>
      <c r="I203" s="198">
        <v>6872.019965780225</v>
      </c>
      <c r="J203" s="198">
        <v>7024.578809020546</v>
      </c>
      <c r="K203" s="198">
        <v>7024.578809020546</v>
      </c>
      <c r="M203" s="144" t="str">
        <f t="shared" si="28"/>
        <v>381</v>
      </c>
      <c r="N203" s="144" t="str">
        <f t="shared" si="29"/>
        <v>38</v>
      </c>
    </row>
    <row r="204" spans="1:14">
      <c r="A204" s="148" t="str">
        <f>IF(C204="","",VLOOKUP('Opći dio'!$C$3,'Opći dio'!$L$6:$U$135,10,FALSE))</f>
        <v>08006</v>
      </c>
      <c r="B204" s="148" t="str">
        <f>IF(C204="","",VLOOKUP('Opći dio'!$C$3,'Opći dio'!$L$6:$U$135,9,FALSE))</f>
        <v>Sveučilišta i veleučilišta u Republici Hrvatskoj</v>
      </c>
      <c r="C204" s="154">
        <v>11</v>
      </c>
      <c r="D204" s="149" t="str">
        <f t="shared" si="26"/>
        <v>Opći prihodi i primici</v>
      </c>
      <c r="E204" s="154">
        <v>4224</v>
      </c>
      <c r="F204" s="149" t="str">
        <f t="shared" si="25"/>
        <v>Medicinska i laboratorijska oprema</v>
      </c>
      <c r="G204" s="201" t="s">
        <v>863</v>
      </c>
      <c r="H204" s="149" t="str">
        <f t="shared" si="27"/>
        <v>PROGRAMSKO FINANCIRANJE JAVNIH VISOKIH UČILIŠTA</v>
      </c>
      <c r="I204" s="198">
        <v>391748.08817425894</v>
      </c>
      <c r="J204" s="198">
        <v>400444.89573172748</v>
      </c>
      <c r="K204" s="198">
        <v>400444.89573172748</v>
      </c>
      <c r="M204" s="144" t="str">
        <f t="shared" si="28"/>
        <v>422</v>
      </c>
      <c r="N204" s="144" t="str">
        <f t="shared" si="29"/>
        <v>42</v>
      </c>
    </row>
    <row r="205" spans="1:14">
      <c r="A205" s="148" t="str">
        <f>IF(C205="","",VLOOKUP('Opći dio'!$C$3,'Opći dio'!$L$6:$U$135,10,FALSE))</f>
        <v>08006</v>
      </c>
      <c r="B205" s="148" t="str">
        <f>IF(C205="","",VLOOKUP('Opći dio'!$C$3,'Opći dio'!$L$6:$U$135,9,FALSE))</f>
        <v>Sveučilišta i veleučilišta u Republici Hrvatskoj</v>
      </c>
      <c r="C205" s="154">
        <v>11</v>
      </c>
      <c r="D205" s="149" t="str">
        <f t="shared" si="26"/>
        <v>Opći prihodi i primici</v>
      </c>
      <c r="E205" s="154">
        <v>4241</v>
      </c>
      <c r="F205" s="149" t="str">
        <f t="shared" si="25"/>
        <v>Knjige</v>
      </c>
      <c r="G205" s="201" t="s">
        <v>863</v>
      </c>
      <c r="H205" s="149" t="str">
        <f t="shared" si="27"/>
        <v>PROGRAMSKO FINANCIRANJE JAVNIH VISOKIH UČILIŠTA</v>
      </c>
      <c r="I205" s="198">
        <v>4380.9127281848932</v>
      </c>
      <c r="J205" s="198">
        <v>4478.1689907505979</v>
      </c>
      <c r="K205" s="198">
        <v>4478.1689907505979</v>
      </c>
      <c r="M205" s="144" t="str">
        <f t="shared" si="28"/>
        <v>424</v>
      </c>
      <c r="N205" s="144" t="str">
        <f t="shared" si="29"/>
        <v>42</v>
      </c>
    </row>
    <row r="206" spans="1:14">
      <c r="A206" s="148" t="str">
        <f>IF(C206="","",VLOOKUP('Opći dio'!$C$3,'Opći dio'!$L$6:$U$135,10,FALSE))</f>
        <v>08006</v>
      </c>
      <c r="B206" s="148" t="str">
        <f>IF(C206="","",VLOOKUP('Opći dio'!$C$3,'Opći dio'!$L$6:$U$135,9,FALSE))</f>
        <v>Sveučilišta i veleučilišta u Republici Hrvatskoj</v>
      </c>
      <c r="C206" s="154">
        <v>11</v>
      </c>
      <c r="D206" s="149" t="str">
        <f t="shared" si="26"/>
        <v>Opći prihodi i primici</v>
      </c>
      <c r="E206" s="154">
        <v>4521</v>
      </c>
      <c r="F206" s="149" t="str">
        <f t="shared" si="25"/>
        <v>Dodatna ulaganja na postrojenjima i opremi</v>
      </c>
      <c r="G206" s="201" t="s">
        <v>863</v>
      </c>
      <c r="H206" s="149" t="str">
        <f t="shared" si="27"/>
        <v>PROGRAMSKO FINANCIRANJE JAVNIH VISOKIH UČILIŠTA</v>
      </c>
      <c r="I206" s="198">
        <v>12885.037435837921</v>
      </c>
      <c r="J206" s="198">
        <v>13171.085266913524</v>
      </c>
      <c r="K206" s="198">
        <v>13171.085266913524</v>
      </c>
      <c r="M206" s="144" t="str">
        <f t="shared" si="28"/>
        <v>452</v>
      </c>
      <c r="N206" s="144" t="str">
        <f t="shared" si="29"/>
        <v>45</v>
      </c>
    </row>
    <row r="207" spans="1:14">
      <c r="A207" s="148" t="str">
        <f>IF(C207="","",VLOOKUP('Opći dio'!$C$3,'Opći dio'!$L$6:$U$135,10,FALSE))</f>
        <v>08006</v>
      </c>
      <c r="B207" s="148" t="str">
        <f>IF(C207="","",VLOOKUP('Opći dio'!$C$3,'Opći dio'!$L$6:$U$135,9,FALSE))</f>
        <v>Sveučilišta i veleučilišta u Republici Hrvatskoj</v>
      </c>
      <c r="C207" s="154">
        <v>11</v>
      </c>
      <c r="D207" s="149" t="str">
        <f t="shared" si="26"/>
        <v>Opći prihodi i primici</v>
      </c>
      <c r="E207" s="154">
        <v>4221</v>
      </c>
      <c r="F207" s="149" t="str">
        <f t="shared" si="25"/>
        <v>Uredska oprema i namještaj</v>
      </c>
      <c r="G207" s="201" t="s">
        <v>863</v>
      </c>
      <c r="H207" s="149" t="str">
        <f t="shared" si="27"/>
        <v>PROGRAMSKO FINANCIRANJE JAVNIH VISOKIH UČILIŠTA</v>
      </c>
      <c r="I207" s="198">
        <v>116351.88804561643</v>
      </c>
      <c r="J207" s="198">
        <v>118934.89996022912</v>
      </c>
      <c r="K207" s="198">
        <v>118934.89996022912</v>
      </c>
      <c r="M207" s="144" t="str">
        <f t="shared" si="28"/>
        <v>422</v>
      </c>
      <c r="N207" s="144" t="str">
        <f t="shared" si="29"/>
        <v>42</v>
      </c>
    </row>
    <row r="208" spans="1:14">
      <c r="A208" s="148" t="str">
        <f>IF(C208="","",VLOOKUP('Opći dio'!$C$3,'Opći dio'!$L$6:$U$135,10,FALSE))</f>
        <v>08006</v>
      </c>
      <c r="B208" s="148" t="str">
        <f>IF(C208="","",VLOOKUP('Opći dio'!$C$3,'Opći dio'!$L$6:$U$135,9,FALSE))</f>
        <v>Sveučilišta i veleučilišta u Republici Hrvatskoj</v>
      </c>
      <c r="C208" s="154">
        <v>11</v>
      </c>
      <c r="D208" s="149" t="str">
        <f t="shared" si="26"/>
        <v>Opći prihodi i primici</v>
      </c>
      <c r="E208" s="154">
        <v>4222</v>
      </c>
      <c r="F208" s="149" t="str">
        <f t="shared" si="25"/>
        <v>Komunikacijska oprema</v>
      </c>
      <c r="G208" s="201" t="s">
        <v>863</v>
      </c>
      <c r="H208" s="149" t="str">
        <f t="shared" si="27"/>
        <v>PROGRAMSKO FINANCIRANJE JAVNIH VISOKIH UČILIŠTA</v>
      </c>
      <c r="I208" s="198">
        <v>17180.049914450563</v>
      </c>
      <c r="J208" s="198">
        <v>17561.447022551365</v>
      </c>
      <c r="K208" s="198">
        <v>17561.447022551365</v>
      </c>
      <c r="M208" s="144" t="str">
        <f t="shared" si="28"/>
        <v>422</v>
      </c>
      <c r="N208" s="144" t="str">
        <f t="shared" si="29"/>
        <v>42</v>
      </c>
    </row>
    <row r="209" spans="1:14">
      <c r="A209" s="148" t="str">
        <f>IF(C209="","",VLOOKUP('Opći dio'!$C$3,'Opći dio'!$L$6:$U$135,10,FALSE))</f>
        <v>08006</v>
      </c>
      <c r="B209" s="148" t="str">
        <f>IF(C209="","",VLOOKUP('Opći dio'!$C$3,'Opći dio'!$L$6:$U$135,9,FALSE))</f>
        <v>Sveučilišta i veleučilišta u Republici Hrvatskoj</v>
      </c>
      <c r="C209" s="154">
        <v>11</v>
      </c>
      <c r="D209" s="149" t="str">
        <f t="shared" si="26"/>
        <v>Opći prihodi i primici</v>
      </c>
      <c r="E209" s="154">
        <v>4223</v>
      </c>
      <c r="F209" s="149" t="str">
        <f t="shared" si="25"/>
        <v>Oprema za održavanje i zaštitu</v>
      </c>
      <c r="G209" s="201" t="s">
        <v>863</v>
      </c>
      <c r="H209" s="149" t="str">
        <f t="shared" si="27"/>
        <v>PROGRAMSKO FINANCIRANJE JAVNIH VISOKIH UČILIŠTA</v>
      </c>
      <c r="I209" s="198">
        <v>71726.708392831089</v>
      </c>
      <c r="J209" s="198">
        <v>73319.041319151933</v>
      </c>
      <c r="K209" s="198">
        <v>73319.041319151933</v>
      </c>
      <c r="M209" s="144" t="str">
        <f t="shared" si="28"/>
        <v>422</v>
      </c>
      <c r="N209" s="144" t="str">
        <f t="shared" si="29"/>
        <v>42</v>
      </c>
    </row>
    <row r="210" spans="1:14">
      <c r="A210" s="148" t="str">
        <f>IF(C210="","",VLOOKUP('Opći dio'!$C$3,'Opći dio'!$L$6:$U$135,10,FALSE))</f>
        <v>08006</v>
      </c>
      <c r="B210" s="148" t="str">
        <f>IF(C210="","",VLOOKUP('Opći dio'!$C$3,'Opći dio'!$L$6:$U$135,9,FALSE))</f>
        <v>Sveučilišta i veleučilišta u Republici Hrvatskoj</v>
      </c>
      <c r="C210" s="154">
        <v>11</v>
      </c>
      <c r="D210" s="149" t="str">
        <f t="shared" si="26"/>
        <v>Opći prihodi i primici</v>
      </c>
      <c r="E210" s="154">
        <v>4225</v>
      </c>
      <c r="F210" s="149" t="str">
        <f t="shared" si="25"/>
        <v>Instrumenti, uređaji i strojevi</v>
      </c>
      <c r="G210" s="201" t="s">
        <v>863</v>
      </c>
      <c r="H210" s="149" t="str">
        <f t="shared" si="27"/>
        <v>PROGRAMSKO FINANCIRANJE JAVNIH VISOKIH UČILIŠTA</v>
      </c>
      <c r="I210" s="198">
        <v>188551.0478110949</v>
      </c>
      <c r="J210" s="198">
        <v>192736.88107250122</v>
      </c>
      <c r="K210" s="198">
        <v>192736.88107250122</v>
      </c>
      <c r="M210" s="144" t="str">
        <f t="shared" si="28"/>
        <v>422</v>
      </c>
      <c r="N210" s="144" t="str">
        <f t="shared" si="29"/>
        <v>42</v>
      </c>
    </row>
    <row r="211" spans="1:14">
      <c r="A211" s="148" t="str">
        <f>IF(C211="","",VLOOKUP('Opći dio'!$C$3,'Opći dio'!$L$6:$U$135,10,FALSE))</f>
        <v>08006</v>
      </c>
      <c r="B211" s="148" t="str">
        <f>IF(C211="","",VLOOKUP('Opći dio'!$C$3,'Opći dio'!$L$6:$U$135,9,FALSE))</f>
        <v>Sveučilišta i veleučilišta u Republici Hrvatskoj</v>
      </c>
      <c r="C211" s="154">
        <v>11</v>
      </c>
      <c r="D211" s="149" t="str">
        <f t="shared" si="26"/>
        <v>Opći prihodi i primici</v>
      </c>
      <c r="E211" s="154">
        <v>3114</v>
      </c>
      <c r="F211" s="149" t="str">
        <f t="shared" si="25"/>
        <v>Plaće za posebne uvjete rada</v>
      </c>
      <c r="G211" s="201" t="s">
        <v>67</v>
      </c>
      <c r="H211" s="149" t="str">
        <f t="shared" si="27"/>
        <v>REDOVNA DJELATNOST SVEUČILIŠTA U ZAGREBU</v>
      </c>
      <c r="I211" s="198">
        <v>250000</v>
      </c>
      <c r="J211" s="198">
        <v>255550</v>
      </c>
      <c r="K211" s="198">
        <v>257901.06000000003</v>
      </c>
      <c r="M211" s="144" t="str">
        <f t="shared" si="28"/>
        <v>311</v>
      </c>
      <c r="N211" s="144" t="str">
        <f t="shared" si="29"/>
        <v>31</v>
      </c>
    </row>
    <row r="212" spans="1:14">
      <c r="A212" s="148" t="str">
        <f>IF(C212="","",VLOOKUP('Opći dio'!$C$3,'Opći dio'!$L$6:$U$135,10,FALSE))</f>
        <v>08006</v>
      </c>
      <c r="B212" s="148" t="str">
        <f>IF(C212="","",VLOOKUP('Opći dio'!$C$3,'Opći dio'!$L$6:$U$135,9,FALSE))</f>
        <v>Sveučilišta i veleučilišta u Republici Hrvatskoj</v>
      </c>
      <c r="C212" s="154">
        <v>563</v>
      </c>
      <c r="D212" s="149" t="str">
        <f t="shared" si="26"/>
        <v>Europski fond za regionalni razvoj (ERDF)</v>
      </c>
      <c r="E212" s="154">
        <v>3111</v>
      </c>
      <c r="F212" s="149" t="str">
        <f t="shared" si="25"/>
        <v>Plaće za redovan rad</v>
      </c>
      <c r="G212" s="201" t="s">
        <v>286</v>
      </c>
      <c r="H212" s="149" t="str">
        <f t="shared" si="27"/>
        <v>OP KONKURENTNOST I KOHEZIJA 2014.-2020., PRIORITET 1 i 10</v>
      </c>
      <c r="I212" s="198">
        <v>95933</v>
      </c>
      <c r="J212" s="198">
        <v>98256</v>
      </c>
      <c r="K212" s="198">
        <v>102825</v>
      </c>
      <c r="M212" s="144" t="str">
        <f t="shared" si="28"/>
        <v>311</v>
      </c>
      <c r="N212" s="144" t="str">
        <f t="shared" si="29"/>
        <v>31</v>
      </c>
    </row>
    <row r="213" spans="1:14">
      <c r="A213" s="148" t="str">
        <f>IF(C213="","",VLOOKUP('Opći dio'!$C$3,'Opći dio'!$L$6:$U$135,10,FALSE))</f>
        <v>08006</v>
      </c>
      <c r="B213" s="148" t="str">
        <f>IF(C213="","",VLOOKUP('Opći dio'!$C$3,'Opći dio'!$L$6:$U$135,9,FALSE))</f>
        <v>Sveučilišta i veleučilišta u Republici Hrvatskoj</v>
      </c>
      <c r="C213" s="154">
        <v>563</v>
      </c>
      <c r="D213" s="149" t="str">
        <f t="shared" si="26"/>
        <v>Europski fond za regionalni razvoj (ERDF)</v>
      </c>
      <c r="E213" s="154">
        <v>3121</v>
      </c>
      <c r="F213" s="149" t="str">
        <f t="shared" si="25"/>
        <v>Ostali rashodi za zaposlene</v>
      </c>
      <c r="G213" s="201" t="s">
        <v>286</v>
      </c>
      <c r="H213" s="149" t="str">
        <f t="shared" si="27"/>
        <v>OP KONKURENTNOST I KOHEZIJA 2014.-2020., PRIORITET 1 i 10</v>
      </c>
      <c r="I213" s="198">
        <v>2904</v>
      </c>
      <c r="J213" s="198">
        <v>3168</v>
      </c>
      <c r="K213" s="198">
        <v>3168</v>
      </c>
      <c r="M213" s="144" t="str">
        <f t="shared" si="28"/>
        <v>312</v>
      </c>
      <c r="N213" s="144" t="str">
        <f t="shared" si="29"/>
        <v>31</v>
      </c>
    </row>
    <row r="214" spans="1:14">
      <c r="A214" s="148" t="str">
        <f>IF(C214="","",VLOOKUP('Opći dio'!$C$3,'Opći dio'!$L$6:$U$135,10,FALSE))</f>
        <v>08006</v>
      </c>
      <c r="B214" s="148" t="str">
        <f>IF(C214="","",VLOOKUP('Opći dio'!$C$3,'Opći dio'!$L$6:$U$135,9,FALSE))</f>
        <v>Sveučilišta i veleučilišta u Republici Hrvatskoj</v>
      </c>
      <c r="C214" s="154">
        <v>563</v>
      </c>
      <c r="D214" s="149" t="str">
        <f t="shared" si="26"/>
        <v>Europski fond za regionalni razvoj (ERDF)</v>
      </c>
      <c r="E214" s="154">
        <v>3132</v>
      </c>
      <c r="F214" s="149" t="str">
        <f t="shared" si="25"/>
        <v>Doprinosi za obvezno zdravstveno osiguranje</v>
      </c>
      <c r="G214" s="201" t="s">
        <v>286</v>
      </c>
      <c r="H214" s="149" t="str">
        <f t="shared" si="27"/>
        <v>OP KONKURENTNOST I KOHEZIJA 2014.-2020., PRIORITET 1 i 10</v>
      </c>
      <c r="I214" s="198">
        <v>17839</v>
      </c>
      <c r="J214" s="198">
        <v>18427</v>
      </c>
      <c r="K214" s="198">
        <v>19554</v>
      </c>
      <c r="M214" s="144" t="str">
        <f t="shared" si="28"/>
        <v>313</v>
      </c>
      <c r="N214" s="144" t="str">
        <f t="shared" si="29"/>
        <v>31</v>
      </c>
    </row>
    <row r="215" spans="1:14">
      <c r="A215" s="148" t="str">
        <f>IF(C215="","",VLOOKUP('Opći dio'!$C$3,'Opći dio'!$L$6:$U$135,10,FALSE))</f>
        <v>08006</v>
      </c>
      <c r="B215" s="148" t="str">
        <f>IF(C215="","",VLOOKUP('Opći dio'!$C$3,'Opći dio'!$L$6:$U$135,9,FALSE))</f>
        <v>Sveučilišta i veleučilišta u Republici Hrvatskoj</v>
      </c>
      <c r="C215" s="154">
        <v>563</v>
      </c>
      <c r="D215" s="149" t="str">
        <f t="shared" si="26"/>
        <v>Europski fond za regionalni razvoj (ERDF)</v>
      </c>
      <c r="E215" s="154">
        <v>3211</v>
      </c>
      <c r="F215" s="149" t="str">
        <f t="shared" si="25"/>
        <v>Službena putovanja</v>
      </c>
      <c r="G215" s="201" t="s">
        <v>286</v>
      </c>
      <c r="H215" s="149" t="str">
        <f t="shared" si="27"/>
        <v>OP KONKURENTNOST I KOHEZIJA 2014.-2020., PRIORITET 1 i 10</v>
      </c>
      <c r="I215" s="198">
        <v>58400</v>
      </c>
      <c r="J215" s="198">
        <v>61110</v>
      </c>
      <c r="K215" s="198">
        <v>65099</v>
      </c>
      <c r="M215" s="144" t="str">
        <f t="shared" si="28"/>
        <v>321</v>
      </c>
      <c r="N215" s="144" t="str">
        <f t="shared" si="29"/>
        <v>32</v>
      </c>
    </row>
    <row r="216" spans="1:14">
      <c r="A216" s="148" t="str">
        <f>IF(C216="","",VLOOKUP('Opći dio'!$C$3,'Opći dio'!$L$6:$U$135,10,FALSE))</f>
        <v>08006</v>
      </c>
      <c r="B216" s="148" t="str">
        <f>IF(C216="","",VLOOKUP('Opći dio'!$C$3,'Opći dio'!$L$6:$U$135,9,FALSE))</f>
        <v>Sveučilišta i veleučilišta u Republici Hrvatskoj</v>
      </c>
      <c r="C216" s="154">
        <v>563</v>
      </c>
      <c r="D216" s="149" t="str">
        <f t="shared" si="26"/>
        <v>Europski fond za regionalni razvoj (ERDF)</v>
      </c>
      <c r="E216" s="154">
        <v>3212</v>
      </c>
      <c r="F216" s="149" t="str">
        <f t="shared" si="25"/>
        <v>Naknade za prijevoz, za rad na terenu i odvojeni život</v>
      </c>
      <c r="G216" s="201" t="s">
        <v>286</v>
      </c>
      <c r="H216" s="149" t="str">
        <f t="shared" si="27"/>
        <v>OP KONKURENTNOST I KOHEZIJA 2014.-2020., PRIORITET 1 i 10</v>
      </c>
      <c r="I216" s="198">
        <v>3864</v>
      </c>
      <c r="J216" s="198">
        <v>3864</v>
      </c>
      <c r="K216" s="198">
        <v>3864</v>
      </c>
      <c r="M216" s="144" t="str">
        <f t="shared" si="28"/>
        <v>321</v>
      </c>
      <c r="N216" s="144" t="str">
        <f t="shared" si="29"/>
        <v>32</v>
      </c>
    </row>
    <row r="217" spans="1:14">
      <c r="A217" s="148" t="str">
        <f>IF(C217="","",VLOOKUP('Opći dio'!$C$3,'Opći dio'!$L$6:$U$135,10,FALSE))</f>
        <v>08006</v>
      </c>
      <c r="B217" s="148" t="str">
        <f>IF(C217="","",VLOOKUP('Opći dio'!$C$3,'Opći dio'!$L$6:$U$135,9,FALSE))</f>
        <v>Sveučilišta i veleučilišta u Republici Hrvatskoj</v>
      </c>
      <c r="C217" s="154">
        <v>563</v>
      </c>
      <c r="D217" s="149" t="str">
        <f t="shared" si="26"/>
        <v>Europski fond za regionalni razvoj (ERDF)</v>
      </c>
      <c r="E217" s="154">
        <v>3213</v>
      </c>
      <c r="F217" s="149" t="str">
        <f t="shared" si="25"/>
        <v>Stručno usavršavanje zaposlenika</v>
      </c>
      <c r="G217" s="201" t="s">
        <v>286</v>
      </c>
      <c r="H217" s="149" t="str">
        <f t="shared" si="27"/>
        <v>OP KONKURENTNOST I KOHEZIJA 2014.-2020., PRIORITET 1 i 10</v>
      </c>
      <c r="I217" s="198">
        <v>14500</v>
      </c>
      <c r="J217" s="198">
        <v>14500</v>
      </c>
      <c r="K217" s="198">
        <v>14500</v>
      </c>
      <c r="M217" s="144" t="str">
        <f t="shared" si="28"/>
        <v>321</v>
      </c>
      <c r="N217" s="144" t="str">
        <f t="shared" si="29"/>
        <v>32</v>
      </c>
    </row>
    <row r="218" spans="1:14">
      <c r="A218" s="148" t="str">
        <f>IF(C218="","",VLOOKUP('Opći dio'!$C$3,'Opći dio'!$L$6:$U$135,10,FALSE))</f>
        <v>08006</v>
      </c>
      <c r="B218" s="148" t="str">
        <f>IF(C218="","",VLOOKUP('Opći dio'!$C$3,'Opći dio'!$L$6:$U$135,9,FALSE))</f>
        <v>Sveučilišta i veleučilišta u Republici Hrvatskoj</v>
      </c>
      <c r="C218" s="154">
        <v>563</v>
      </c>
      <c r="D218" s="149" t="str">
        <f t="shared" si="26"/>
        <v>Europski fond za regionalni razvoj (ERDF)</v>
      </c>
      <c r="E218" s="154">
        <v>3214</v>
      </c>
      <c r="F218" s="149" t="str">
        <f t="shared" si="25"/>
        <v>Ostale naknade troškova zaposlenima</v>
      </c>
      <c r="G218" s="201" t="s">
        <v>286</v>
      </c>
      <c r="H218" s="149" t="str">
        <f t="shared" si="27"/>
        <v>OP KONKURENTNOST I KOHEZIJA 2014.-2020., PRIORITET 1 i 10</v>
      </c>
      <c r="I218" s="198">
        <v>2000</v>
      </c>
      <c r="J218" s="198">
        <v>2000</v>
      </c>
      <c r="K218" s="198">
        <v>2000</v>
      </c>
      <c r="M218" s="144" t="str">
        <f t="shared" si="28"/>
        <v>321</v>
      </c>
      <c r="N218" s="144" t="str">
        <f t="shared" si="29"/>
        <v>32</v>
      </c>
    </row>
    <row r="219" spans="1:14">
      <c r="A219" s="148" t="str">
        <f>IF(C219="","",VLOOKUP('Opći dio'!$C$3,'Opći dio'!$L$6:$U$135,10,FALSE))</f>
        <v>08006</v>
      </c>
      <c r="B219" s="148" t="str">
        <f>IF(C219="","",VLOOKUP('Opći dio'!$C$3,'Opći dio'!$L$6:$U$135,9,FALSE))</f>
        <v>Sveučilišta i veleučilišta u Republici Hrvatskoj</v>
      </c>
      <c r="C219" s="154">
        <v>563</v>
      </c>
      <c r="D219" s="149" t="str">
        <f t="shared" si="26"/>
        <v>Europski fond za regionalni razvoj (ERDF)</v>
      </c>
      <c r="E219" s="154">
        <v>3221</v>
      </c>
      <c r="F219" s="149" t="str">
        <f t="shared" si="25"/>
        <v>Uredski materijal i ostali materijalni rashodi</v>
      </c>
      <c r="G219" s="201" t="s">
        <v>286</v>
      </c>
      <c r="H219" s="149" t="str">
        <f t="shared" si="27"/>
        <v>OP KONKURENTNOST I KOHEZIJA 2014.-2020., PRIORITET 1 i 10</v>
      </c>
      <c r="I219" s="198">
        <v>19000</v>
      </c>
      <c r="J219" s="198">
        <v>19000</v>
      </c>
      <c r="K219" s="198">
        <v>19000</v>
      </c>
      <c r="M219" s="144" t="str">
        <f t="shared" si="28"/>
        <v>322</v>
      </c>
      <c r="N219" s="144" t="str">
        <f t="shared" si="29"/>
        <v>32</v>
      </c>
    </row>
    <row r="220" spans="1:14">
      <c r="A220" s="148" t="str">
        <f>IF(C220="","",VLOOKUP('Opći dio'!$C$3,'Opći dio'!$L$6:$U$135,10,FALSE))</f>
        <v>08006</v>
      </c>
      <c r="B220" s="148" t="str">
        <f>IF(C220="","",VLOOKUP('Opći dio'!$C$3,'Opći dio'!$L$6:$U$135,9,FALSE))</f>
        <v>Sveučilišta i veleučilišta u Republici Hrvatskoj</v>
      </c>
      <c r="C220" s="154">
        <v>563</v>
      </c>
      <c r="D220" s="149" t="str">
        <f t="shared" si="26"/>
        <v>Europski fond za regionalni razvoj (ERDF)</v>
      </c>
      <c r="E220" s="154">
        <v>3222</v>
      </c>
      <c r="F220" s="149" t="str">
        <f t="shared" si="25"/>
        <v>Materijal i sirovine</v>
      </c>
      <c r="G220" s="201" t="s">
        <v>286</v>
      </c>
      <c r="H220" s="149" t="str">
        <f t="shared" si="27"/>
        <v>OP KONKURENTNOST I KOHEZIJA 2014.-2020., PRIORITET 1 i 10</v>
      </c>
      <c r="I220" s="198">
        <v>717000</v>
      </c>
      <c r="J220" s="198">
        <v>715833</v>
      </c>
      <c r="K220" s="198">
        <v>715800</v>
      </c>
      <c r="M220" s="144" t="str">
        <f t="shared" si="28"/>
        <v>322</v>
      </c>
      <c r="N220" s="144" t="str">
        <f t="shared" si="29"/>
        <v>32</v>
      </c>
    </row>
    <row r="221" spans="1:14">
      <c r="A221" s="148" t="str">
        <f>IF(C221="","",VLOOKUP('Opći dio'!$C$3,'Opći dio'!$L$6:$U$135,10,FALSE))</f>
        <v>08006</v>
      </c>
      <c r="B221" s="148" t="str">
        <f>IF(C221="","",VLOOKUP('Opći dio'!$C$3,'Opći dio'!$L$6:$U$135,9,FALSE))</f>
        <v>Sveučilišta i veleučilišta u Republici Hrvatskoj</v>
      </c>
      <c r="C221" s="154">
        <v>563</v>
      </c>
      <c r="D221" s="149" t="str">
        <f t="shared" si="26"/>
        <v>Europski fond za regionalni razvoj (ERDF)</v>
      </c>
      <c r="E221" s="154">
        <v>3223</v>
      </c>
      <c r="F221" s="149" t="str">
        <f t="shared" si="25"/>
        <v>Energija</v>
      </c>
      <c r="G221" s="201" t="s">
        <v>286</v>
      </c>
      <c r="H221" s="149" t="str">
        <f t="shared" si="27"/>
        <v>OP KONKURENTNOST I KOHEZIJA 2014.-2020., PRIORITET 1 i 10</v>
      </c>
      <c r="I221" s="198">
        <v>25811</v>
      </c>
      <c r="J221" s="198">
        <v>26742</v>
      </c>
      <c r="K221" s="198">
        <v>25197</v>
      </c>
      <c r="M221" s="144" t="str">
        <f t="shared" si="28"/>
        <v>322</v>
      </c>
      <c r="N221" s="144" t="str">
        <f t="shared" si="29"/>
        <v>32</v>
      </c>
    </row>
    <row r="222" spans="1:14">
      <c r="A222" s="148" t="str">
        <f>IF(C222="","",VLOOKUP('Opći dio'!$C$3,'Opći dio'!$L$6:$U$135,10,FALSE))</f>
        <v>08006</v>
      </c>
      <c r="B222" s="148" t="str">
        <f>IF(C222="","",VLOOKUP('Opći dio'!$C$3,'Opći dio'!$L$6:$U$135,9,FALSE))</f>
        <v>Sveučilišta i veleučilišta u Republici Hrvatskoj</v>
      </c>
      <c r="C222" s="154">
        <v>563</v>
      </c>
      <c r="D222" s="149" t="str">
        <f t="shared" si="26"/>
        <v>Europski fond za regionalni razvoj (ERDF)</v>
      </c>
      <c r="E222" s="154">
        <v>3224</v>
      </c>
      <c r="F222" s="149" t="str">
        <f t="shared" si="25"/>
        <v>Materijal i dijelovi za tekuće i investicijsko održavanje</v>
      </c>
      <c r="G222" s="201" t="s">
        <v>286</v>
      </c>
      <c r="H222" s="149" t="str">
        <f t="shared" si="27"/>
        <v>OP KONKURENTNOST I KOHEZIJA 2014.-2020., PRIORITET 1 i 10</v>
      </c>
      <c r="I222" s="198">
        <v>28000</v>
      </c>
      <c r="J222" s="198">
        <v>28000</v>
      </c>
      <c r="K222" s="198">
        <v>28000</v>
      </c>
      <c r="M222" s="144" t="str">
        <f t="shared" si="28"/>
        <v>322</v>
      </c>
      <c r="N222" s="144" t="str">
        <f t="shared" si="29"/>
        <v>32</v>
      </c>
    </row>
    <row r="223" spans="1:14">
      <c r="A223" s="148" t="str">
        <f>IF(C223="","",VLOOKUP('Opći dio'!$C$3,'Opći dio'!$L$6:$U$135,10,FALSE))</f>
        <v>08006</v>
      </c>
      <c r="B223" s="148" t="str">
        <f>IF(C223="","",VLOOKUP('Opći dio'!$C$3,'Opći dio'!$L$6:$U$135,9,FALSE))</f>
        <v>Sveučilišta i veleučilišta u Republici Hrvatskoj</v>
      </c>
      <c r="C223" s="154">
        <v>563</v>
      </c>
      <c r="D223" s="149" t="str">
        <f t="shared" si="26"/>
        <v>Europski fond za regionalni razvoj (ERDF)</v>
      </c>
      <c r="E223" s="154">
        <v>3225</v>
      </c>
      <c r="F223" s="149" t="str">
        <f t="shared" si="25"/>
        <v>Sitni inventar i auto gume</v>
      </c>
      <c r="G223" s="201" t="s">
        <v>286</v>
      </c>
      <c r="H223" s="149" t="str">
        <f t="shared" si="27"/>
        <v>OP KONKURENTNOST I KOHEZIJA 2014.-2020., PRIORITET 1 i 10</v>
      </c>
      <c r="I223" s="198">
        <v>16000</v>
      </c>
      <c r="J223" s="198">
        <v>16500</v>
      </c>
      <c r="K223" s="198">
        <v>16000</v>
      </c>
      <c r="M223" s="144" t="str">
        <f t="shared" si="28"/>
        <v>322</v>
      </c>
      <c r="N223" s="144" t="str">
        <f t="shared" si="29"/>
        <v>32</v>
      </c>
    </row>
    <row r="224" spans="1:14">
      <c r="A224" s="148" t="str">
        <f>IF(C224="","",VLOOKUP('Opći dio'!$C$3,'Opći dio'!$L$6:$U$135,10,FALSE))</f>
        <v>08006</v>
      </c>
      <c r="B224" s="148" t="str">
        <f>IF(C224="","",VLOOKUP('Opći dio'!$C$3,'Opći dio'!$L$6:$U$135,9,FALSE))</f>
        <v>Sveučilišta i veleučilišta u Republici Hrvatskoj</v>
      </c>
      <c r="C224" s="154">
        <v>563</v>
      </c>
      <c r="D224" s="149" t="str">
        <f t="shared" si="26"/>
        <v>Europski fond za regionalni razvoj (ERDF)</v>
      </c>
      <c r="E224" s="154">
        <v>3227</v>
      </c>
      <c r="F224" s="149" t="str">
        <f t="shared" si="25"/>
        <v>Službena, radna i zaštitna odjeća i obuća</v>
      </c>
      <c r="G224" s="201" t="s">
        <v>286</v>
      </c>
      <c r="H224" s="149" t="str">
        <f t="shared" si="27"/>
        <v>OP KONKURENTNOST I KOHEZIJA 2014.-2020., PRIORITET 1 i 10</v>
      </c>
      <c r="I224" s="198">
        <v>7000</v>
      </c>
      <c r="J224" s="198">
        <v>7500</v>
      </c>
      <c r="K224" s="198">
        <v>7500</v>
      </c>
      <c r="M224" s="144" t="str">
        <f t="shared" si="28"/>
        <v>322</v>
      </c>
      <c r="N224" s="144" t="str">
        <f t="shared" si="29"/>
        <v>32</v>
      </c>
    </row>
    <row r="225" spans="1:14">
      <c r="A225" s="148" t="str">
        <f>IF(C225="","",VLOOKUP('Opći dio'!$C$3,'Opći dio'!$L$6:$U$135,10,FALSE))</f>
        <v>08006</v>
      </c>
      <c r="B225" s="148" t="str">
        <f>IF(C225="","",VLOOKUP('Opći dio'!$C$3,'Opći dio'!$L$6:$U$135,9,FALSE))</f>
        <v>Sveučilišta i veleučilišta u Republici Hrvatskoj</v>
      </c>
      <c r="C225" s="154">
        <v>563</v>
      </c>
      <c r="D225" s="149" t="str">
        <f t="shared" si="26"/>
        <v>Europski fond za regionalni razvoj (ERDF)</v>
      </c>
      <c r="E225" s="154">
        <v>3231</v>
      </c>
      <c r="F225" s="149" t="str">
        <f t="shared" si="25"/>
        <v>Usluge telefona, pošte i prijevoza</v>
      </c>
      <c r="G225" s="201" t="s">
        <v>286</v>
      </c>
      <c r="H225" s="149" t="str">
        <f t="shared" si="27"/>
        <v>OP KONKURENTNOST I KOHEZIJA 2014.-2020., PRIORITET 1 i 10</v>
      </c>
      <c r="I225" s="198">
        <v>1700</v>
      </c>
      <c r="J225" s="198">
        <v>1700</v>
      </c>
      <c r="K225" s="198">
        <v>700</v>
      </c>
      <c r="M225" s="144" t="str">
        <f t="shared" si="28"/>
        <v>323</v>
      </c>
      <c r="N225" s="144" t="str">
        <f t="shared" si="29"/>
        <v>32</v>
      </c>
    </row>
    <row r="226" spans="1:14">
      <c r="A226" s="148" t="str">
        <f>IF(C226="","",VLOOKUP('Opći dio'!$C$3,'Opći dio'!$L$6:$U$135,10,FALSE))</f>
        <v>08006</v>
      </c>
      <c r="B226" s="148" t="str">
        <f>IF(C226="","",VLOOKUP('Opći dio'!$C$3,'Opći dio'!$L$6:$U$135,9,FALSE))</f>
        <v>Sveučilišta i veleučilišta u Republici Hrvatskoj</v>
      </c>
      <c r="C226" s="154">
        <v>563</v>
      </c>
      <c r="D226" s="149" t="str">
        <f t="shared" si="26"/>
        <v>Europski fond za regionalni razvoj (ERDF)</v>
      </c>
      <c r="E226" s="154">
        <v>3232</v>
      </c>
      <c r="F226" s="149" t="str">
        <f t="shared" si="25"/>
        <v>Usluge tekućeg i investicijskog održavanja</v>
      </c>
      <c r="G226" s="201" t="s">
        <v>286</v>
      </c>
      <c r="H226" s="149" t="str">
        <f t="shared" si="27"/>
        <v>OP KONKURENTNOST I KOHEZIJA 2014.-2020., PRIORITET 1 i 10</v>
      </c>
      <c r="I226" s="198">
        <v>97000</v>
      </c>
      <c r="J226" s="198">
        <v>97000</v>
      </c>
      <c r="K226" s="198">
        <v>97000</v>
      </c>
      <c r="M226" s="144" t="str">
        <f t="shared" si="28"/>
        <v>323</v>
      </c>
      <c r="N226" s="144" t="str">
        <f t="shared" si="29"/>
        <v>32</v>
      </c>
    </row>
    <row r="227" spans="1:14">
      <c r="A227" s="148" t="str">
        <f>IF(C227="","",VLOOKUP('Opći dio'!$C$3,'Opći dio'!$L$6:$U$135,10,FALSE))</f>
        <v>08006</v>
      </c>
      <c r="B227" s="148" t="str">
        <f>IF(C227="","",VLOOKUP('Opći dio'!$C$3,'Opći dio'!$L$6:$U$135,9,FALSE))</f>
        <v>Sveučilišta i veleučilišta u Republici Hrvatskoj</v>
      </c>
      <c r="C227" s="154">
        <v>563</v>
      </c>
      <c r="D227" s="149" t="str">
        <f t="shared" si="26"/>
        <v>Europski fond za regionalni razvoj (ERDF)</v>
      </c>
      <c r="E227" s="154">
        <v>3233</v>
      </c>
      <c r="F227" s="149" t="str">
        <f t="shared" si="25"/>
        <v>Usluge promidžbe i informiranja</v>
      </c>
      <c r="G227" s="201" t="s">
        <v>286</v>
      </c>
      <c r="H227" s="149" t="str">
        <f t="shared" si="27"/>
        <v>OP KONKURENTNOST I KOHEZIJA 2014.-2020., PRIORITET 1 i 10</v>
      </c>
      <c r="I227" s="198">
        <v>17000</v>
      </c>
      <c r="J227" s="198">
        <v>16000</v>
      </c>
      <c r="K227" s="198">
        <v>16000</v>
      </c>
      <c r="M227" s="144" t="str">
        <f t="shared" si="28"/>
        <v>323</v>
      </c>
      <c r="N227" s="144" t="str">
        <f t="shared" si="29"/>
        <v>32</v>
      </c>
    </row>
    <row r="228" spans="1:14">
      <c r="A228" s="148" t="str">
        <f>IF(C228="","",VLOOKUP('Opći dio'!$C$3,'Opći dio'!$L$6:$U$135,10,FALSE))</f>
        <v>08006</v>
      </c>
      <c r="B228" s="148" t="str">
        <f>IF(C228="","",VLOOKUP('Opći dio'!$C$3,'Opći dio'!$L$6:$U$135,9,FALSE))</f>
        <v>Sveučilišta i veleučilišta u Republici Hrvatskoj</v>
      </c>
      <c r="C228" s="154">
        <v>563</v>
      </c>
      <c r="D228" s="149" t="str">
        <f t="shared" si="26"/>
        <v>Europski fond za regionalni razvoj (ERDF)</v>
      </c>
      <c r="E228" s="154">
        <v>3234</v>
      </c>
      <c r="F228" s="149" t="str">
        <f t="shared" si="25"/>
        <v>Komunalne usluge</v>
      </c>
      <c r="G228" s="201" t="s">
        <v>286</v>
      </c>
      <c r="H228" s="149" t="str">
        <f t="shared" si="27"/>
        <v>OP KONKURENTNOST I KOHEZIJA 2014.-2020., PRIORITET 1 i 10</v>
      </c>
      <c r="I228" s="198">
        <v>4189</v>
      </c>
      <c r="J228" s="198">
        <v>5263</v>
      </c>
      <c r="K228" s="198">
        <v>6721</v>
      </c>
      <c r="M228" s="144" t="str">
        <f t="shared" si="28"/>
        <v>323</v>
      </c>
      <c r="N228" s="144" t="str">
        <f t="shared" si="29"/>
        <v>32</v>
      </c>
    </row>
    <row r="229" spans="1:14">
      <c r="A229" s="148" t="str">
        <f>IF(C229="","",VLOOKUP('Opći dio'!$C$3,'Opći dio'!$L$6:$U$135,10,FALSE))</f>
        <v>08006</v>
      </c>
      <c r="B229" s="148" t="str">
        <f>IF(C229="","",VLOOKUP('Opći dio'!$C$3,'Opći dio'!$L$6:$U$135,9,FALSE))</f>
        <v>Sveučilišta i veleučilišta u Republici Hrvatskoj</v>
      </c>
      <c r="C229" s="154">
        <v>563</v>
      </c>
      <c r="D229" s="149" t="str">
        <f t="shared" si="26"/>
        <v>Europski fond za regionalni razvoj (ERDF)</v>
      </c>
      <c r="E229" s="154">
        <v>3235</v>
      </c>
      <c r="F229" s="149" t="str">
        <f t="shared" si="25"/>
        <v>Zakupnine i najamnine</v>
      </c>
      <c r="G229" s="201" t="s">
        <v>286</v>
      </c>
      <c r="H229" s="149" t="str">
        <f t="shared" si="27"/>
        <v>OP KONKURENTNOST I KOHEZIJA 2014.-2020., PRIORITET 1 i 10</v>
      </c>
      <c r="I229" s="198">
        <v>6000</v>
      </c>
      <c r="J229" s="198">
        <v>6000</v>
      </c>
      <c r="K229" s="198">
        <v>6000</v>
      </c>
      <c r="M229" s="144" t="str">
        <f t="shared" si="28"/>
        <v>323</v>
      </c>
      <c r="N229" s="144" t="str">
        <f t="shared" si="29"/>
        <v>32</v>
      </c>
    </row>
    <row r="230" spans="1:14">
      <c r="A230" s="148" t="str">
        <f>IF(C230="","",VLOOKUP('Opći dio'!$C$3,'Opći dio'!$L$6:$U$135,10,FALSE))</f>
        <v>08006</v>
      </c>
      <c r="B230" s="148" t="str">
        <f>IF(C230="","",VLOOKUP('Opći dio'!$C$3,'Opći dio'!$L$6:$U$135,9,FALSE))</f>
        <v>Sveučilišta i veleučilišta u Republici Hrvatskoj</v>
      </c>
      <c r="C230" s="154">
        <v>563</v>
      </c>
      <c r="D230" s="149" t="str">
        <f t="shared" si="26"/>
        <v>Europski fond za regionalni razvoj (ERDF)</v>
      </c>
      <c r="E230" s="154">
        <v>3236</v>
      </c>
      <c r="F230" s="149" t="str">
        <f t="shared" si="25"/>
        <v>Zdravstvene i veterinarske usluge</v>
      </c>
      <c r="G230" s="201" t="s">
        <v>286</v>
      </c>
      <c r="H230" s="149" t="str">
        <f t="shared" si="27"/>
        <v>OP KONKURENTNOST I KOHEZIJA 2014.-2020., PRIORITET 1 i 10</v>
      </c>
      <c r="I230" s="198">
        <v>30000</v>
      </c>
      <c r="J230" s="198">
        <v>30000</v>
      </c>
      <c r="K230" s="198">
        <v>30000</v>
      </c>
      <c r="M230" s="144" t="str">
        <f t="shared" si="28"/>
        <v>323</v>
      </c>
      <c r="N230" s="144" t="str">
        <f t="shared" si="29"/>
        <v>32</v>
      </c>
    </row>
    <row r="231" spans="1:14">
      <c r="A231" s="148" t="str">
        <f>IF(C231="","",VLOOKUP('Opći dio'!$C$3,'Opći dio'!$L$6:$U$135,10,FALSE))</f>
        <v>08006</v>
      </c>
      <c r="B231" s="148" t="str">
        <f>IF(C231="","",VLOOKUP('Opći dio'!$C$3,'Opći dio'!$L$6:$U$135,9,FALSE))</f>
        <v>Sveučilišta i veleučilišta u Republici Hrvatskoj</v>
      </c>
      <c r="C231" s="154">
        <v>563</v>
      </c>
      <c r="D231" s="149" t="str">
        <f t="shared" si="26"/>
        <v>Europski fond za regionalni razvoj (ERDF)</v>
      </c>
      <c r="E231" s="154">
        <v>3237</v>
      </c>
      <c r="F231" s="149" t="str">
        <f t="shared" si="25"/>
        <v>Intelektualne i osobne usluge</v>
      </c>
      <c r="G231" s="201" t="s">
        <v>286</v>
      </c>
      <c r="H231" s="149" t="str">
        <f t="shared" si="27"/>
        <v>OP KONKURENTNOST I KOHEZIJA 2014.-2020., PRIORITET 1 i 10</v>
      </c>
      <c r="I231" s="198">
        <v>11666</v>
      </c>
      <c r="J231" s="198">
        <v>11666</v>
      </c>
      <c r="K231" s="198">
        <v>11666</v>
      </c>
      <c r="M231" s="144" t="str">
        <f t="shared" si="28"/>
        <v>323</v>
      </c>
      <c r="N231" s="144" t="str">
        <f t="shared" si="29"/>
        <v>32</v>
      </c>
    </row>
    <row r="232" spans="1:14">
      <c r="A232" s="148" t="str">
        <f>IF(C232="","",VLOOKUP('Opći dio'!$C$3,'Opći dio'!$L$6:$U$135,10,FALSE))</f>
        <v>08006</v>
      </c>
      <c r="B232" s="148" t="str">
        <f>IF(C232="","",VLOOKUP('Opći dio'!$C$3,'Opći dio'!$L$6:$U$135,9,FALSE))</f>
        <v>Sveučilišta i veleučilišta u Republici Hrvatskoj</v>
      </c>
      <c r="C232" s="154">
        <v>563</v>
      </c>
      <c r="D232" s="149" t="str">
        <f t="shared" si="26"/>
        <v>Europski fond za regionalni razvoj (ERDF)</v>
      </c>
      <c r="E232" s="154">
        <v>3238</v>
      </c>
      <c r="F232" s="149" t="str">
        <f t="shared" si="25"/>
        <v>Računalne usluge</v>
      </c>
      <c r="G232" s="201" t="s">
        <v>286</v>
      </c>
      <c r="H232" s="149" t="str">
        <f t="shared" si="27"/>
        <v>OP KONKURENTNOST I KOHEZIJA 2014.-2020., PRIORITET 1 i 10</v>
      </c>
      <c r="I232" s="198">
        <v>17700</v>
      </c>
      <c r="J232" s="198">
        <v>17400</v>
      </c>
      <c r="K232" s="198">
        <v>17000</v>
      </c>
      <c r="M232" s="144" t="str">
        <f t="shared" si="28"/>
        <v>323</v>
      </c>
      <c r="N232" s="144" t="str">
        <f t="shared" si="29"/>
        <v>32</v>
      </c>
    </row>
    <row r="233" spans="1:14">
      <c r="A233" s="148" t="str">
        <f>IF(C233="","",VLOOKUP('Opći dio'!$C$3,'Opći dio'!$L$6:$U$135,10,FALSE))</f>
        <v>08006</v>
      </c>
      <c r="B233" s="148" t="str">
        <f>IF(C233="","",VLOOKUP('Opći dio'!$C$3,'Opći dio'!$L$6:$U$135,9,FALSE))</f>
        <v>Sveučilišta i veleučilišta u Republici Hrvatskoj</v>
      </c>
      <c r="C233" s="154">
        <v>563</v>
      </c>
      <c r="D233" s="149" t="str">
        <f t="shared" si="26"/>
        <v>Europski fond za regionalni razvoj (ERDF)</v>
      </c>
      <c r="E233" s="154">
        <v>3239</v>
      </c>
      <c r="F233" s="149" t="str">
        <f t="shared" si="25"/>
        <v>Ostale usluge</v>
      </c>
      <c r="G233" s="201" t="s">
        <v>286</v>
      </c>
      <c r="H233" s="149" t="str">
        <f t="shared" si="27"/>
        <v>OP KONKURENTNOST I KOHEZIJA 2014.-2020., PRIORITET 1 i 10</v>
      </c>
      <c r="I233" s="198">
        <v>9500</v>
      </c>
      <c r="J233" s="198">
        <v>9500</v>
      </c>
      <c r="K233" s="198">
        <v>9500</v>
      </c>
      <c r="M233" s="144" t="str">
        <f t="shared" si="28"/>
        <v>323</v>
      </c>
      <c r="N233" s="144" t="str">
        <f t="shared" si="29"/>
        <v>32</v>
      </c>
    </row>
    <row r="234" spans="1:14">
      <c r="A234" s="148" t="str">
        <f>IF(C234="","",VLOOKUP('Opći dio'!$C$3,'Opći dio'!$L$6:$U$135,10,FALSE))</f>
        <v>08006</v>
      </c>
      <c r="B234" s="148" t="str">
        <f>IF(C234="","",VLOOKUP('Opći dio'!$C$3,'Opći dio'!$L$6:$U$135,9,FALSE))</f>
        <v>Sveučilišta i veleučilišta u Republici Hrvatskoj</v>
      </c>
      <c r="C234" s="154">
        <v>563</v>
      </c>
      <c r="D234" s="149" t="str">
        <f t="shared" si="26"/>
        <v>Europski fond za regionalni razvoj (ERDF)</v>
      </c>
      <c r="E234" s="154">
        <v>3241</v>
      </c>
      <c r="F234" s="149" t="str">
        <f t="shared" si="25"/>
        <v>Naknade troškova osobama izvan radnog odnosa</v>
      </c>
      <c r="G234" s="201" t="s">
        <v>286</v>
      </c>
      <c r="H234" s="149" t="str">
        <f t="shared" si="27"/>
        <v>OP KONKURENTNOST I KOHEZIJA 2014.-2020., PRIORITET 1 i 10</v>
      </c>
      <c r="I234" s="198">
        <v>9890</v>
      </c>
      <c r="J234" s="198">
        <v>9890</v>
      </c>
      <c r="K234" s="198">
        <v>9890</v>
      </c>
      <c r="M234" s="144" t="str">
        <f t="shared" si="28"/>
        <v>324</v>
      </c>
      <c r="N234" s="144" t="str">
        <f t="shared" si="29"/>
        <v>32</v>
      </c>
    </row>
    <row r="235" spans="1:14">
      <c r="A235" s="148" t="str">
        <f>IF(C235="","",VLOOKUP('Opći dio'!$C$3,'Opći dio'!$L$6:$U$135,10,FALSE))</f>
        <v>08006</v>
      </c>
      <c r="B235" s="148" t="str">
        <f>IF(C235="","",VLOOKUP('Opći dio'!$C$3,'Opći dio'!$L$6:$U$135,9,FALSE))</f>
        <v>Sveučilišta i veleučilišta u Republici Hrvatskoj</v>
      </c>
      <c r="C235" s="154">
        <v>563</v>
      </c>
      <c r="D235" s="149" t="str">
        <f t="shared" si="26"/>
        <v>Europski fond za regionalni razvoj (ERDF)</v>
      </c>
      <c r="E235" s="154">
        <v>3292</v>
      </c>
      <c r="F235" s="149" t="str">
        <f t="shared" si="25"/>
        <v>Premije osiguranja</v>
      </c>
      <c r="G235" s="201" t="s">
        <v>286</v>
      </c>
      <c r="H235" s="149" t="str">
        <f t="shared" si="27"/>
        <v>OP KONKURENTNOST I KOHEZIJA 2014.-2020., PRIORITET 1 i 10</v>
      </c>
      <c r="I235" s="198">
        <v>1700</v>
      </c>
      <c r="J235" s="198">
        <v>1870</v>
      </c>
      <c r="K235" s="198">
        <v>1800</v>
      </c>
      <c r="M235" s="144" t="str">
        <f t="shared" si="28"/>
        <v>329</v>
      </c>
      <c r="N235" s="144" t="str">
        <f t="shared" si="29"/>
        <v>32</v>
      </c>
    </row>
    <row r="236" spans="1:14">
      <c r="A236" s="148" t="str">
        <f>IF(C236="","",VLOOKUP('Opći dio'!$C$3,'Opći dio'!$L$6:$U$135,10,FALSE))</f>
        <v>08006</v>
      </c>
      <c r="B236" s="148" t="str">
        <f>IF(C236="","",VLOOKUP('Opći dio'!$C$3,'Opći dio'!$L$6:$U$135,9,FALSE))</f>
        <v>Sveučilišta i veleučilišta u Republici Hrvatskoj</v>
      </c>
      <c r="C236" s="154">
        <v>563</v>
      </c>
      <c r="D236" s="149" t="str">
        <f t="shared" si="26"/>
        <v>Europski fond za regionalni razvoj (ERDF)</v>
      </c>
      <c r="E236" s="154">
        <v>3293</v>
      </c>
      <c r="F236" s="149" t="str">
        <f t="shared" si="25"/>
        <v>Reprezentacija</v>
      </c>
      <c r="G236" s="201" t="s">
        <v>286</v>
      </c>
      <c r="H236" s="149" t="str">
        <f t="shared" si="27"/>
        <v>OP KONKURENTNOST I KOHEZIJA 2014.-2020., PRIORITET 1 i 10</v>
      </c>
      <c r="I236" s="198">
        <v>12800</v>
      </c>
      <c r="J236" s="198">
        <v>12800</v>
      </c>
      <c r="K236" s="198">
        <v>12800</v>
      </c>
      <c r="M236" s="144" t="str">
        <f t="shared" si="28"/>
        <v>329</v>
      </c>
      <c r="N236" s="144" t="str">
        <f t="shared" si="29"/>
        <v>32</v>
      </c>
    </row>
    <row r="237" spans="1:14">
      <c r="A237" s="148" t="str">
        <f>IF(C237="","",VLOOKUP('Opći dio'!$C$3,'Opći dio'!$L$6:$U$135,10,FALSE))</f>
        <v>08006</v>
      </c>
      <c r="B237" s="148" t="str">
        <f>IF(C237="","",VLOOKUP('Opći dio'!$C$3,'Opći dio'!$L$6:$U$135,9,FALSE))</f>
        <v>Sveučilišta i veleučilišta u Republici Hrvatskoj</v>
      </c>
      <c r="C237" s="154">
        <v>563</v>
      </c>
      <c r="D237" s="149" t="str">
        <f t="shared" si="26"/>
        <v>Europski fond za regionalni razvoj (ERDF)</v>
      </c>
      <c r="E237" s="154">
        <v>3294</v>
      </c>
      <c r="F237" s="149" t="str">
        <f t="shared" si="25"/>
        <v>Članarine i norme</v>
      </c>
      <c r="G237" s="201" t="s">
        <v>286</v>
      </c>
      <c r="H237" s="149" t="str">
        <f t="shared" si="27"/>
        <v>OP KONKURENTNOST I KOHEZIJA 2014.-2020., PRIORITET 1 i 10</v>
      </c>
      <c r="I237" s="198">
        <v>6000</v>
      </c>
      <c r="J237" s="198">
        <v>6000</v>
      </c>
      <c r="K237" s="198">
        <v>6000</v>
      </c>
      <c r="M237" s="144" t="str">
        <f t="shared" si="28"/>
        <v>329</v>
      </c>
      <c r="N237" s="144" t="str">
        <f t="shared" si="29"/>
        <v>32</v>
      </c>
    </row>
    <row r="238" spans="1:14">
      <c r="A238" s="148" t="str">
        <f>IF(C238="","",VLOOKUP('Opći dio'!$C$3,'Opći dio'!$L$6:$U$135,10,FALSE))</f>
        <v>08006</v>
      </c>
      <c r="B238" s="148" t="str">
        <f>IF(C238="","",VLOOKUP('Opći dio'!$C$3,'Opći dio'!$L$6:$U$135,9,FALSE))</f>
        <v>Sveučilišta i veleučilišta u Republici Hrvatskoj</v>
      </c>
      <c r="C238" s="154">
        <v>563</v>
      </c>
      <c r="D238" s="149" t="str">
        <f t="shared" si="26"/>
        <v>Europski fond za regionalni razvoj (ERDF)</v>
      </c>
      <c r="E238" s="154">
        <v>3295</v>
      </c>
      <c r="F238" s="149" t="str">
        <f t="shared" si="25"/>
        <v>Pristojbe i naknade</v>
      </c>
      <c r="G238" s="201" t="s">
        <v>286</v>
      </c>
      <c r="H238" s="149" t="str">
        <f t="shared" si="27"/>
        <v>OP KONKURENTNOST I KOHEZIJA 2014.-2020., PRIORITET 1 i 10</v>
      </c>
      <c r="I238" s="198">
        <v>2900</v>
      </c>
      <c r="J238" s="198">
        <v>2900</v>
      </c>
      <c r="K238" s="198">
        <v>2900</v>
      </c>
      <c r="M238" s="144" t="str">
        <f t="shared" si="28"/>
        <v>329</v>
      </c>
      <c r="N238" s="144" t="str">
        <f t="shared" si="29"/>
        <v>32</v>
      </c>
    </row>
    <row r="239" spans="1:14">
      <c r="A239" s="148" t="str">
        <f>IF(C239="","",VLOOKUP('Opći dio'!$C$3,'Opći dio'!$L$6:$U$135,10,FALSE))</f>
        <v>08006</v>
      </c>
      <c r="B239" s="148" t="str">
        <f>IF(C239="","",VLOOKUP('Opći dio'!$C$3,'Opći dio'!$L$6:$U$135,9,FALSE))</f>
        <v>Sveučilišta i veleučilišta u Republici Hrvatskoj</v>
      </c>
      <c r="C239" s="154">
        <v>563</v>
      </c>
      <c r="D239" s="149" t="str">
        <f t="shared" si="26"/>
        <v>Europski fond za regionalni razvoj (ERDF)</v>
      </c>
      <c r="E239" s="154">
        <v>3299</v>
      </c>
      <c r="F239" s="149" t="str">
        <f t="shared" si="25"/>
        <v>Ostali nespomenuti rashodi poslovanja</v>
      </c>
      <c r="G239" s="201" t="s">
        <v>286</v>
      </c>
      <c r="H239" s="149" t="str">
        <f t="shared" si="27"/>
        <v>OP KONKURENTNOST I KOHEZIJA 2014.-2020., PRIORITET 1 i 10</v>
      </c>
      <c r="I239" s="198">
        <v>3790</v>
      </c>
      <c r="J239" s="198">
        <v>3710</v>
      </c>
      <c r="K239" s="198">
        <v>3780</v>
      </c>
      <c r="M239" s="144" t="str">
        <f t="shared" si="28"/>
        <v>329</v>
      </c>
      <c r="N239" s="144" t="str">
        <f t="shared" si="29"/>
        <v>32</v>
      </c>
    </row>
    <row r="240" spans="1:14">
      <c r="A240" s="148" t="str">
        <f>IF(C240="","",VLOOKUP('Opći dio'!$C$3,'Opći dio'!$L$6:$U$135,10,FALSE))</f>
        <v>08006</v>
      </c>
      <c r="B240" s="148" t="str">
        <f>IF(C240="","",VLOOKUP('Opći dio'!$C$3,'Opći dio'!$L$6:$U$135,9,FALSE))</f>
        <v>Sveučilišta i veleučilišta u Republici Hrvatskoj</v>
      </c>
      <c r="C240" s="154">
        <v>563</v>
      </c>
      <c r="D240" s="149" t="str">
        <f t="shared" si="26"/>
        <v>Europski fond za regionalni razvoj (ERDF)</v>
      </c>
      <c r="E240" s="154">
        <v>3431</v>
      </c>
      <c r="F240" s="149" t="str">
        <f t="shared" si="25"/>
        <v>Bankarske usluge i usluge platnog prometa</v>
      </c>
      <c r="G240" s="201" t="s">
        <v>286</v>
      </c>
      <c r="H240" s="149" t="str">
        <f t="shared" si="27"/>
        <v>OP KONKURENTNOST I KOHEZIJA 2014.-2020., PRIORITET 1 i 10</v>
      </c>
      <c r="I240" s="198">
        <v>1300</v>
      </c>
      <c r="J240" s="198">
        <v>1300</v>
      </c>
      <c r="K240" s="198">
        <v>1300</v>
      </c>
      <c r="M240" s="144" t="str">
        <f t="shared" si="28"/>
        <v>343</v>
      </c>
      <c r="N240" s="144" t="str">
        <f t="shared" si="29"/>
        <v>34</v>
      </c>
    </row>
    <row r="241" spans="1:14">
      <c r="A241" s="148" t="str">
        <f>IF(C241="","",VLOOKUP('Opći dio'!$C$3,'Opći dio'!$L$6:$U$135,10,FALSE))</f>
        <v>08006</v>
      </c>
      <c r="B241" s="148" t="str">
        <f>IF(C241="","",VLOOKUP('Opći dio'!$C$3,'Opći dio'!$L$6:$U$135,9,FALSE))</f>
        <v>Sveučilišta i veleučilišta u Republici Hrvatskoj</v>
      </c>
      <c r="C241" s="154">
        <v>563</v>
      </c>
      <c r="D241" s="149" t="str">
        <f t="shared" si="26"/>
        <v>Europski fond za regionalni razvoj (ERDF)</v>
      </c>
      <c r="E241" s="154">
        <v>3432</v>
      </c>
      <c r="F241" s="149" t="str">
        <f t="shared" si="25"/>
        <v>Negativne tečajne razlike i razlike zbog primjene valutne kl</v>
      </c>
      <c r="G241" s="201" t="s">
        <v>286</v>
      </c>
      <c r="H241" s="149" t="str">
        <f t="shared" si="27"/>
        <v>OP KONKURENTNOST I KOHEZIJA 2014.-2020., PRIORITET 1 i 10</v>
      </c>
      <c r="I241" s="198">
        <v>200</v>
      </c>
      <c r="J241" s="198">
        <v>200</v>
      </c>
      <c r="K241" s="198">
        <v>200</v>
      </c>
      <c r="M241" s="144" t="str">
        <f t="shared" si="28"/>
        <v>343</v>
      </c>
      <c r="N241" s="144" t="str">
        <f t="shared" si="29"/>
        <v>34</v>
      </c>
    </row>
    <row r="242" spans="1:14">
      <c r="A242" s="148" t="str">
        <f>IF(C242="","",VLOOKUP('Opći dio'!$C$3,'Opći dio'!$L$6:$U$135,10,FALSE))</f>
        <v>08006</v>
      </c>
      <c r="B242" s="148" t="str">
        <f>IF(C242="","",VLOOKUP('Opći dio'!$C$3,'Opći dio'!$L$6:$U$135,9,FALSE))</f>
        <v>Sveučilišta i veleučilišta u Republici Hrvatskoj</v>
      </c>
      <c r="C242" s="154">
        <v>563</v>
      </c>
      <c r="D242" s="149" t="str">
        <f t="shared" si="26"/>
        <v>Europski fond za regionalni razvoj (ERDF)</v>
      </c>
      <c r="E242" s="154">
        <v>4221</v>
      </c>
      <c r="F242" s="149" t="str">
        <f t="shared" si="25"/>
        <v>Uredska oprema i namještaj</v>
      </c>
      <c r="G242" s="201" t="s">
        <v>286</v>
      </c>
      <c r="H242" s="149" t="str">
        <f t="shared" si="27"/>
        <v>OP KONKURENTNOST I KOHEZIJA 2014.-2020., PRIORITET 1 i 10</v>
      </c>
      <c r="I242" s="198">
        <v>13300</v>
      </c>
      <c r="J242" s="198">
        <v>13300</v>
      </c>
      <c r="K242" s="198">
        <v>13000</v>
      </c>
      <c r="M242" s="144" t="str">
        <f t="shared" si="28"/>
        <v>422</v>
      </c>
      <c r="N242" s="144" t="str">
        <f t="shared" si="29"/>
        <v>42</v>
      </c>
    </row>
    <row r="243" spans="1:14">
      <c r="A243" s="148" t="str">
        <f>IF(C243="","",VLOOKUP('Opći dio'!$C$3,'Opći dio'!$L$6:$U$135,10,FALSE))</f>
        <v>08006</v>
      </c>
      <c r="B243" s="148" t="str">
        <f>IF(C243="","",VLOOKUP('Opći dio'!$C$3,'Opći dio'!$L$6:$U$135,9,FALSE))</f>
        <v>Sveučilišta i veleučilišta u Republici Hrvatskoj</v>
      </c>
      <c r="C243" s="154">
        <v>563</v>
      </c>
      <c r="D243" s="149" t="str">
        <f t="shared" si="26"/>
        <v>Europski fond za regionalni razvoj (ERDF)</v>
      </c>
      <c r="E243" s="154">
        <v>4222</v>
      </c>
      <c r="F243" s="149" t="str">
        <f t="shared" si="25"/>
        <v>Komunikacijska oprema</v>
      </c>
      <c r="G243" s="201" t="s">
        <v>286</v>
      </c>
      <c r="H243" s="149" t="str">
        <f t="shared" si="27"/>
        <v>OP KONKURENTNOST I KOHEZIJA 2014.-2020., PRIORITET 1 i 10</v>
      </c>
      <c r="I243" s="198">
        <v>5000</v>
      </c>
      <c r="J243" s="198">
        <v>5000</v>
      </c>
      <c r="K243" s="198">
        <v>5000</v>
      </c>
      <c r="M243" s="144" t="str">
        <f t="shared" si="28"/>
        <v>422</v>
      </c>
      <c r="N243" s="144" t="str">
        <f t="shared" si="29"/>
        <v>42</v>
      </c>
    </row>
    <row r="244" spans="1:14">
      <c r="A244" s="148" t="str">
        <f>IF(C244="","",VLOOKUP('Opći dio'!$C$3,'Opći dio'!$L$6:$U$135,10,FALSE))</f>
        <v>08006</v>
      </c>
      <c r="B244" s="148" t="str">
        <f>IF(C244="","",VLOOKUP('Opći dio'!$C$3,'Opći dio'!$L$6:$U$135,9,FALSE))</f>
        <v>Sveučilišta i veleučilišta u Republici Hrvatskoj</v>
      </c>
      <c r="C244" s="154">
        <v>563</v>
      </c>
      <c r="D244" s="149" t="str">
        <f t="shared" si="26"/>
        <v>Europski fond za regionalni razvoj (ERDF)</v>
      </c>
      <c r="E244" s="154">
        <v>4223</v>
      </c>
      <c r="F244" s="149" t="str">
        <f t="shared" si="25"/>
        <v>Oprema za održavanje i zaštitu</v>
      </c>
      <c r="G244" s="201" t="s">
        <v>286</v>
      </c>
      <c r="H244" s="149" t="str">
        <f t="shared" si="27"/>
        <v>OP KONKURENTNOST I KOHEZIJA 2014.-2020., PRIORITET 1 i 10</v>
      </c>
      <c r="I244" s="198">
        <v>10000</v>
      </c>
      <c r="J244" s="198">
        <v>10000</v>
      </c>
      <c r="K244" s="198">
        <v>10000</v>
      </c>
      <c r="M244" s="144" t="str">
        <f t="shared" si="28"/>
        <v>422</v>
      </c>
      <c r="N244" s="144" t="str">
        <f t="shared" si="29"/>
        <v>42</v>
      </c>
    </row>
    <row r="245" spans="1:14">
      <c r="A245" s="148" t="str">
        <f>IF(C245="","",VLOOKUP('Opći dio'!$C$3,'Opći dio'!$L$6:$U$135,10,FALSE))</f>
        <v>08006</v>
      </c>
      <c r="B245" s="148" t="str">
        <f>IF(C245="","",VLOOKUP('Opći dio'!$C$3,'Opći dio'!$L$6:$U$135,9,FALSE))</f>
        <v>Sveučilišta i veleučilišta u Republici Hrvatskoj</v>
      </c>
      <c r="C245" s="154">
        <v>563</v>
      </c>
      <c r="D245" s="149" t="str">
        <f t="shared" si="26"/>
        <v>Europski fond za regionalni razvoj (ERDF)</v>
      </c>
      <c r="E245" s="154">
        <v>4224</v>
      </c>
      <c r="F245" s="149" t="str">
        <f t="shared" si="25"/>
        <v>Medicinska i laboratorijska oprema</v>
      </c>
      <c r="G245" s="201" t="s">
        <v>286</v>
      </c>
      <c r="H245" s="149" t="str">
        <f t="shared" si="27"/>
        <v>OP KONKURENTNOST I KOHEZIJA 2014.-2020., PRIORITET 1 i 10</v>
      </c>
      <c r="I245" s="198">
        <v>340000</v>
      </c>
      <c r="J245" s="198">
        <v>340000</v>
      </c>
      <c r="K245" s="198">
        <v>340000</v>
      </c>
      <c r="M245" s="144" t="str">
        <f t="shared" si="28"/>
        <v>422</v>
      </c>
      <c r="N245" s="144" t="str">
        <f t="shared" si="29"/>
        <v>42</v>
      </c>
    </row>
    <row r="246" spans="1:14">
      <c r="A246" s="148" t="str">
        <f>IF(C246="","",VLOOKUP('Opći dio'!$C$3,'Opći dio'!$L$6:$U$135,10,FALSE))</f>
        <v>08006</v>
      </c>
      <c r="B246" s="148" t="str">
        <f>IF(C246="","",VLOOKUP('Opći dio'!$C$3,'Opći dio'!$L$6:$U$135,9,FALSE))</f>
        <v>Sveučilišta i veleučilišta u Republici Hrvatskoj</v>
      </c>
      <c r="C246" s="154">
        <v>563</v>
      </c>
      <c r="D246" s="149" t="str">
        <f t="shared" si="26"/>
        <v>Europski fond za regionalni razvoj (ERDF)</v>
      </c>
      <c r="E246" s="154">
        <v>4225</v>
      </c>
      <c r="F246" s="149" t="str">
        <f t="shared" si="25"/>
        <v>Instrumenti, uređaji i strojevi</v>
      </c>
      <c r="G246" s="201" t="s">
        <v>286</v>
      </c>
      <c r="H246" s="149" t="str">
        <f t="shared" si="27"/>
        <v>OP KONKURENTNOST I KOHEZIJA 2014.-2020., PRIORITET 1 i 10</v>
      </c>
      <c r="I246" s="198">
        <v>125000</v>
      </c>
      <c r="J246" s="198">
        <v>123000</v>
      </c>
      <c r="K246" s="198">
        <v>126000</v>
      </c>
      <c r="M246" s="144" t="str">
        <f t="shared" si="28"/>
        <v>422</v>
      </c>
      <c r="N246" s="144" t="str">
        <f t="shared" si="29"/>
        <v>42</v>
      </c>
    </row>
    <row r="247" spans="1:14">
      <c r="A247" s="148" t="str">
        <f>IF(C247="","",VLOOKUP('Opći dio'!$C$3,'Opći dio'!$L$6:$U$135,10,FALSE))</f>
        <v>08006</v>
      </c>
      <c r="B247" s="148" t="str">
        <f>IF(C247="","",VLOOKUP('Opći dio'!$C$3,'Opći dio'!$L$6:$U$135,9,FALSE))</f>
        <v>Sveučilišta i veleučilišta u Republici Hrvatskoj</v>
      </c>
      <c r="C247" s="154">
        <v>563</v>
      </c>
      <c r="D247" s="149" t="str">
        <f t="shared" si="26"/>
        <v>Europski fond za regionalni razvoj (ERDF)</v>
      </c>
      <c r="E247" s="154">
        <v>4521</v>
      </c>
      <c r="F247" s="149" t="str">
        <f t="shared" si="25"/>
        <v>Dodatna ulaganja na postrojenjima i opremi</v>
      </c>
      <c r="G247" s="201" t="s">
        <v>286</v>
      </c>
      <c r="H247" s="149" t="str">
        <f t="shared" si="27"/>
        <v>OP KONKURENTNOST I KOHEZIJA 2014.-2020., PRIORITET 1 i 10</v>
      </c>
      <c r="I247" s="198">
        <v>80000</v>
      </c>
      <c r="J247" s="198">
        <v>80000</v>
      </c>
      <c r="K247" s="198">
        <v>80000</v>
      </c>
      <c r="M247" s="144" t="str">
        <f t="shared" si="28"/>
        <v>452</v>
      </c>
      <c r="N247" s="144" t="str">
        <f t="shared" si="29"/>
        <v>45</v>
      </c>
    </row>
    <row r="248" spans="1:14">
      <c r="A248" s="148" t="str">
        <f>IF(C248="","",VLOOKUP('Opći dio'!$C$3,'Opći dio'!$L$6:$U$135,10,FALSE))</f>
        <v>08006</v>
      </c>
      <c r="B248" s="148" t="str">
        <f>IF(C248="","",VLOOKUP('Opći dio'!$C$3,'Opći dio'!$L$6:$U$135,9,FALSE))</f>
        <v>Sveučilišta i veleučilišta u Republici Hrvatskoj</v>
      </c>
      <c r="C248" s="154">
        <v>12</v>
      </c>
      <c r="D248" s="149" t="str">
        <f t="shared" si="26"/>
        <v>Sredstva učešća za pomoći</v>
      </c>
      <c r="E248" s="154">
        <v>3111</v>
      </c>
      <c r="F248" s="149" t="str">
        <f t="shared" si="25"/>
        <v>Plaće za redovan rad</v>
      </c>
      <c r="G248" s="201" t="s">
        <v>286</v>
      </c>
      <c r="H248" s="149" t="str">
        <f t="shared" si="27"/>
        <v>OP KONKURENTNOST I KOHEZIJA 2014.-2020., PRIORITET 1 i 10</v>
      </c>
      <c r="I248" s="198">
        <v>250883</v>
      </c>
      <c r="J248" s="198">
        <v>255380</v>
      </c>
      <c r="K248" s="198">
        <v>258573</v>
      </c>
      <c r="M248" s="144" t="str">
        <f t="shared" si="28"/>
        <v>311</v>
      </c>
      <c r="N248" s="144" t="str">
        <f t="shared" si="29"/>
        <v>31</v>
      </c>
    </row>
    <row r="249" spans="1:14">
      <c r="A249" s="148" t="str">
        <f>IF(C249="","",VLOOKUP('Opći dio'!$C$3,'Opći dio'!$L$6:$U$135,10,FALSE))</f>
        <v>08006</v>
      </c>
      <c r="B249" s="148" t="str">
        <f>IF(C249="","",VLOOKUP('Opći dio'!$C$3,'Opći dio'!$L$6:$U$135,9,FALSE))</f>
        <v>Sveučilišta i veleučilišta u Republici Hrvatskoj</v>
      </c>
      <c r="C249" s="154">
        <v>12</v>
      </c>
      <c r="D249" s="149" t="str">
        <f t="shared" si="26"/>
        <v>Sredstva učešća za pomoći</v>
      </c>
      <c r="E249" s="154">
        <v>3121</v>
      </c>
      <c r="F249" s="149" t="str">
        <f t="shared" si="25"/>
        <v>Ostali rashodi za zaposlene</v>
      </c>
      <c r="G249" s="201" t="s">
        <v>286</v>
      </c>
      <c r="H249" s="149" t="str">
        <f t="shared" si="27"/>
        <v>OP KONKURENTNOST I KOHEZIJA 2014.-2020., PRIORITET 1 i 10</v>
      </c>
      <c r="I249" s="198">
        <v>8095</v>
      </c>
      <c r="J249" s="198">
        <v>8831</v>
      </c>
      <c r="K249" s="198">
        <v>8831</v>
      </c>
      <c r="M249" s="144" t="str">
        <f t="shared" si="28"/>
        <v>312</v>
      </c>
      <c r="N249" s="144" t="str">
        <f t="shared" si="29"/>
        <v>31</v>
      </c>
    </row>
    <row r="250" spans="1:14">
      <c r="A250" s="148" t="str">
        <f>IF(C250="","",VLOOKUP('Opći dio'!$C$3,'Opći dio'!$L$6:$U$135,10,FALSE))</f>
        <v>08006</v>
      </c>
      <c r="B250" s="148" t="str">
        <f>IF(C250="","",VLOOKUP('Opći dio'!$C$3,'Opći dio'!$L$6:$U$135,9,FALSE))</f>
        <v>Sveučilišta i veleučilišta u Republici Hrvatskoj</v>
      </c>
      <c r="C250" s="154">
        <v>12</v>
      </c>
      <c r="D250" s="149" t="str">
        <f t="shared" si="26"/>
        <v>Sredstva učešća za pomoći</v>
      </c>
      <c r="E250" s="154">
        <v>3132</v>
      </c>
      <c r="F250" s="149" t="str">
        <f t="shared" si="25"/>
        <v>Doprinosi za obvezno zdravstveno osiguranje</v>
      </c>
      <c r="G250" s="201" t="s">
        <v>286</v>
      </c>
      <c r="H250" s="149" t="str">
        <f t="shared" si="27"/>
        <v>OP KONKURENTNOST I KOHEZIJA 2014.-2020., PRIORITET 1 i 10</v>
      </c>
      <c r="I250" s="198">
        <v>36062</v>
      </c>
      <c r="J250" s="198">
        <v>38772</v>
      </c>
      <c r="K250" s="198">
        <v>41812</v>
      </c>
      <c r="M250" s="144" t="str">
        <f t="shared" si="28"/>
        <v>313</v>
      </c>
      <c r="N250" s="144" t="str">
        <f t="shared" si="29"/>
        <v>31</v>
      </c>
    </row>
    <row r="251" spans="1:14">
      <c r="A251" s="148" t="str">
        <f>IF(C251="","",VLOOKUP('Opći dio'!$C$3,'Opći dio'!$L$6:$U$135,10,FALSE))</f>
        <v>08006</v>
      </c>
      <c r="B251" s="148" t="str">
        <f>IF(C251="","",VLOOKUP('Opći dio'!$C$3,'Opći dio'!$L$6:$U$135,9,FALSE))</f>
        <v>Sveučilišta i veleučilišta u Republici Hrvatskoj</v>
      </c>
      <c r="C251" s="154">
        <v>12</v>
      </c>
      <c r="D251" s="149" t="str">
        <f t="shared" si="26"/>
        <v>Sredstva učešća za pomoći</v>
      </c>
      <c r="E251" s="154">
        <v>3212</v>
      </c>
      <c r="F251" s="149" t="str">
        <f t="shared" si="25"/>
        <v>Naknade za prijevoz, za rad na terenu i odvojeni život</v>
      </c>
      <c r="G251" s="201" t="s">
        <v>286</v>
      </c>
      <c r="H251" s="149" t="str">
        <f t="shared" si="27"/>
        <v>OP KONKURENTNOST I KOHEZIJA 2014.-2020., PRIORITET 1 i 10</v>
      </c>
      <c r="I251" s="198">
        <v>19135</v>
      </c>
      <c r="J251" s="198">
        <v>19135</v>
      </c>
      <c r="K251" s="198">
        <v>19135</v>
      </c>
      <c r="M251" s="144" t="str">
        <f t="shared" si="28"/>
        <v>321</v>
      </c>
      <c r="N251" s="144" t="str">
        <f t="shared" si="29"/>
        <v>32</v>
      </c>
    </row>
    <row r="252" spans="1:14">
      <c r="A252" s="148" t="str">
        <f>IF(C252="","",VLOOKUP('Opći dio'!$C$3,'Opći dio'!$L$6:$U$135,10,FALSE))</f>
        <v>08006</v>
      </c>
      <c r="B252" s="148" t="str">
        <f>IF(C252="","",VLOOKUP('Opći dio'!$C$3,'Opći dio'!$L$6:$U$135,9,FALSE))</f>
        <v>Sveučilišta i veleučilišta u Republici Hrvatskoj</v>
      </c>
      <c r="C252" s="154">
        <v>561</v>
      </c>
      <c r="D252" s="149" t="str">
        <f t="shared" si="26"/>
        <v>Europski socijalni fond (ESF)</v>
      </c>
      <c r="E252" s="154">
        <v>3111</v>
      </c>
      <c r="F252" s="149" t="str">
        <f t="shared" si="25"/>
        <v>Plaće za redovan rad</v>
      </c>
      <c r="G252" s="201" t="s">
        <v>896</v>
      </c>
      <c r="H252" s="149" t="str">
        <f t="shared" si="27"/>
        <v>OP UČINKOVITI LJUDSKI POTENCIJALI 2014.-2020., PRIORITET 3</v>
      </c>
      <c r="I252" s="198">
        <v>575030</v>
      </c>
      <c r="J252" s="198">
        <v>593668</v>
      </c>
      <c r="K252" s="198">
        <v>603514</v>
      </c>
      <c r="M252" s="144" t="str">
        <f t="shared" si="28"/>
        <v>311</v>
      </c>
      <c r="N252" s="144" t="str">
        <f t="shared" si="29"/>
        <v>31</v>
      </c>
    </row>
    <row r="253" spans="1:14">
      <c r="A253" s="148" t="str">
        <f>IF(C253="","",VLOOKUP('Opći dio'!$C$3,'Opći dio'!$L$6:$U$135,10,FALSE))</f>
        <v>08006</v>
      </c>
      <c r="B253" s="148" t="str">
        <f>IF(C253="","",VLOOKUP('Opći dio'!$C$3,'Opći dio'!$L$6:$U$135,9,FALSE))</f>
        <v>Sveučilišta i veleučilišta u Republici Hrvatskoj</v>
      </c>
      <c r="C253" s="154">
        <v>561</v>
      </c>
      <c r="D253" s="149" t="str">
        <f t="shared" si="26"/>
        <v>Europski socijalni fond (ESF)</v>
      </c>
      <c r="E253" s="154">
        <v>3121</v>
      </c>
      <c r="F253" s="149" t="str">
        <f t="shared" si="25"/>
        <v>Ostali rashodi za zaposlene</v>
      </c>
      <c r="G253" s="201" t="s">
        <v>896</v>
      </c>
      <c r="H253" s="149" t="str">
        <f t="shared" si="27"/>
        <v>OP UČINKOVITI LJUDSKI POTENCIJALI 2014.-2020., PRIORITET 3</v>
      </c>
      <c r="I253" s="198">
        <v>11212</v>
      </c>
      <c r="J253" s="198">
        <v>11212</v>
      </c>
      <c r="K253" s="198">
        <v>11212</v>
      </c>
      <c r="M253" s="144" t="str">
        <f t="shared" si="28"/>
        <v>312</v>
      </c>
      <c r="N253" s="144" t="str">
        <f t="shared" si="29"/>
        <v>31</v>
      </c>
    </row>
    <row r="254" spans="1:14">
      <c r="A254" s="148" t="str">
        <f>IF(C254="","",VLOOKUP('Opći dio'!$C$3,'Opći dio'!$L$6:$U$135,10,FALSE))</f>
        <v>08006</v>
      </c>
      <c r="B254" s="148" t="str">
        <f>IF(C254="","",VLOOKUP('Opći dio'!$C$3,'Opći dio'!$L$6:$U$135,9,FALSE))</f>
        <v>Sveučilišta i veleučilišta u Republici Hrvatskoj</v>
      </c>
      <c r="C254" s="154">
        <v>561</v>
      </c>
      <c r="D254" s="149" t="str">
        <f t="shared" si="26"/>
        <v>Europski socijalni fond (ESF)</v>
      </c>
      <c r="E254" s="154">
        <v>3132</v>
      </c>
      <c r="F254" s="149" t="str">
        <f t="shared" si="25"/>
        <v>Doprinosi za obvezno zdravstveno osiguranje</v>
      </c>
      <c r="G254" s="201" t="s">
        <v>896</v>
      </c>
      <c r="H254" s="149" t="str">
        <f t="shared" si="27"/>
        <v>OP UČINKOVITI LJUDSKI POTENCIJALI 2014.-2020., PRIORITET 3</v>
      </c>
      <c r="I254" s="198">
        <v>73305</v>
      </c>
      <c r="J254" s="198">
        <v>75992</v>
      </c>
      <c r="K254" s="198">
        <v>81845</v>
      </c>
      <c r="M254" s="144" t="str">
        <f t="shared" si="28"/>
        <v>313</v>
      </c>
      <c r="N254" s="144" t="str">
        <f t="shared" si="29"/>
        <v>31</v>
      </c>
    </row>
    <row r="255" spans="1:14">
      <c r="A255" s="148" t="str">
        <f>IF(C255="","",VLOOKUP('Opći dio'!$C$3,'Opći dio'!$L$6:$U$135,10,FALSE))</f>
        <v>08006</v>
      </c>
      <c r="B255" s="148" t="str">
        <f>IF(C255="","",VLOOKUP('Opći dio'!$C$3,'Opći dio'!$L$6:$U$135,9,FALSE))</f>
        <v>Sveučilišta i veleučilišta u Republici Hrvatskoj</v>
      </c>
      <c r="C255" s="154">
        <v>561</v>
      </c>
      <c r="D255" s="149" t="str">
        <f t="shared" si="26"/>
        <v>Europski socijalni fond (ESF)</v>
      </c>
      <c r="E255" s="154">
        <v>3211</v>
      </c>
      <c r="F255" s="149" t="str">
        <f t="shared" si="25"/>
        <v>Službena putovanja</v>
      </c>
      <c r="G255" s="201" t="s">
        <v>896</v>
      </c>
      <c r="H255" s="149" t="str">
        <f t="shared" si="27"/>
        <v>OP UČINKOVITI LJUDSKI POTENCIJALI 2014.-2020., PRIORITET 3</v>
      </c>
      <c r="I255" s="198">
        <v>48100</v>
      </c>
      <c r="J255" s="198">
        <v>39200</v>
      </c>
      <c r="K255" s="198">
        <v>31104</v>
      </c>
      <c r="M255" s="144" t="str">
        <f t="shared" si="28"/>
        <v>321</v>
      </c>
      <c r="N255" s="144" t="str">
        <f t="shared" si="29"/>
        <v>32</v>
      </c>
    </row>
    <row r="256" spans="1:14">
      <c r="A256" s="148" t="str">
        <f>IF(C256="","",VLOOKUP('Opći dio'!$C$3,'Opći dio'!$L$6:$U$135,10,FALSE))</f>
        <v>08006</v>
      </c>
      <c r="B256" s="148" t="str">
        <f>IF(C256="","",VLOOKUP('Opći dio'!$C$3,'Opći dio'!$L$6:$U$135,9,FALSE))</f>
        <v>Sveučilišta i veleučilišta u Republici Hrvatskoj</v>
      </c>
      <c r="C256" s="154">
        <v>561</v>
      </c>
      <c r="D256" s="149" t="str">
        <f t="shared" si="26"/>
        <v>Europski socijalni fond (ESF)</v>
      </c>
      <c r="E256" s="154">
        <v>3212</v>
      </c>
      <c r="F256" s="149" t="str">
        <f t="shared" si="25"/>
        <v>Naknade za prijevoz, za rad na terenu i odvojeni život</v>
      </c>
      <c r="G256" s="201" t="s">
        <v>896</v>
      </c>
      <c r="H256" s="149" t="str">
        <f t="shared" si="27"/>
        <v>OP UČINKOVITI LJUDSKI POTENCIJALI 2014.-2020., PRIORITET 3</v>
      </c>
      <c r="I256" s="198">
        <v>23286</v>
      </c>
      <c r="J256" s="198">
        <v>23286.996099715183</v>
      </c>
      <c r="K256" s="198">
        <v>23286</v>
      </c>
      <c r="M256" s="144" t="str">
        <f t="shared" si="28"/>
        <v>321</v>
      </c>
      <c r="N256" s="144" t="str">
        <f t="shared" si="29"/>
        <v>32</v>
      </c>
    </row>
    <row r="257" spans="1:14">
      <c r="A257" s="148" t="str">
        <f>IF(C257="","",VLOOKUP('Opći dio'!$C$3,'Opći dio'!$L$6:$U$135,10,FALSE))</f>
        <v>08006</v>
      </c>
      <c r="B257" s="148" t="str">
        <f>IF(C257="","",VLOOKUP('Opći dio'!$C$3,'Opći dio'!$L$6:$U$135,9,FALSE))</f>
        <v>Sveučilišta i veleučilišta u Republici Hrvatskoj</v>
      </c>
      <c r="C257" s="154">
        <v>561</v>
      </c>
      <c r="D257" s="149" t="str">
        <f t="shared" si="26"/>
        <v>Europski socijalni fond (ESF)</v>
      </c>
      <c r="E257" s="154">
        <v>3213</v>
      </c>
      <c r="F257" s="149" t="str">
        <f t="shared" si="25"/>
        <v>Stručno usavršavanje zaposlenika</v>
      </c>
      <c r="G257" s="201" t="s">
        <v>896</v>
      </c>
      <c r="H257" s="149" t="str">
        <f t="shared" si="27"/>
        <v>OP UČINKOVITI LJUDSKI POTENCIJALI 2014.-2020., PRIORITET 3</v>
      </c>
      <c r="I257" s="198">
        <v>25000</v>
      </c>
      <c r="J257" s="198">
        <v>15000</v>
      </c>
      <c r="K257" s="198">
        <v>10000</v>
      </c>
      <c r="M257" s="144" t="str">
        <f t="shared" si="28"/>
        <v>321</v>
      </c>
      <c r="N257" s="144" t="str">
        <f t="shared" si="29"/>
        <v>32</v>
      </c>
    </row>
    <row r="258" spans="1:14">
      <c r="A258" s="148" t="str">
        <f>IF(C258="","",VLOOKUP('Opći dio'!$C$3,'Opći dio'!$L$6:$U$135,10,FALSE))</f>
        <v>08006</v>
      </c>
      <c r="B258" s="148" t="str">
        <f>IF(C258="","",VLOOKUP('Opći dio'!$C$3,'Opći dio'!$L$6:$U$135,9,FALSE))</f>
        <v>Sveučilišta i veleučilišta u Republici Hrvatskoj</v>
      </c>
      <c r="C258" s="154">
        <v>561</v>
      </c>
      <c r="D258" s="149" t="str">
        <f t="shared" si="26"/>
        <v>Europski socijalni fond (ESF)</v>
      </c>
      <c r="E258" s="154">
        <v>3223</v>
      </c>
      <c r="F258" s="149" t="str">
        <f t="shared" si="25"/>
        <v>Energija</v>
      </c>
      <c r="G258" s="201" t="s">
        <v>896</v>
      </c>
      <c r="H258" s="149" t="str">
        <f t="shared" si="27"/>
        <v>OP UČINKOVITI LJUDSKI POTENCIJALI 2014.-2020., PRIORITET 3</v>
      </c>
      <c r="I258" s="198">
        <v>54170</v>
      </c>
      <c r="J258" s="198">
        <v>54170</v>
      </c>
      <c r="K258" s="198">
        <v>54170</v>
      </c>
      <c r="M258" s="144" t="str">
        <f t="shared" si="28"/>
        <v>322</v>
      </c>
      <c r="N258" s="144" t="str">
        <f t="shared" si="29"/>
        <v>32</v>
      </c>
    </row>
    <row r="259" spans="1:14">
      <c r="A259" s="148" t="str">
        <f>IF(C259="","",VLOOKUP('Opći dio'!$C$3,'Opći dio'!$L$6:$U$135,10,FALSE))</f>
        <v>08006</v>
      </c>
      <c r="B259" s="148" t="str">
        <f>IF(C259="","",VLOOKUP('Opći dio'!$C$3,'Opći dio'!$L$6:$U$135,9,FALSE))</f>
        <v>Sveučilišta i veleučilišta u Republici Hrvatskoj</v>
      </c>
      <c r="C259" s="154">
        <v>561</v>
      </c>
      <c r="D259" s="149" t="str">
        <f t="shared" si="26"/>
        <v>Europski socijalni fond (ESF)</v>
      </c>
      <c r="E259" s="154">
        <v>3224</v>
      </c>
      <c r="F259" s="149" t="str">
        <f t="shared" ref="F259:F322" si="30">IFERROR(VLOOKUP(E259,$R$5:$T$129,2,FALSE),"")</f>
        <v>Materijal i dijelovi za tekuće i investicijsko održavanje</v>
      </c>
      <c r="G259" s="201" t="s">
        <v>896</v>
      </c>
      <c r="H259" s="149" t="str">
        <f t="shared" si="27"/>
        <v>OP UČINKOVITI LJUDSKI POTENCIJALI 2014.-2020., PRIORITET 3</v>
      </c>
      <c r="I259" s="198">
        <v>4000</v>
      </c>
      <c r="J259" s="198">
        <v>4000</v>
      </c>
      <c r="K259" s="198">
        <v>4000</v>
      </c>
      <c r="M259" s="144" t="str">
        <f t="shared" si="28"/>
        <v>322</v>
      </c>
      <c r="N259" s="144" t="str">
        <f t="shared" si="29"/>
        <v>32</v>
      </c>
    </row>
    <row r="260" spans="1:14">
      <c r="A260" s="148" t="str">
        <f>IF(C260="","",VLOOKUP('Opći dio'!$C$3,'Opći dio'!$L$6:$U$135,10,FALSE))</f>
        <v>08006</v>
      </c>
      <c r="B260" s="148" t="str">
        <f>IF(C260="","",VLOOKUP('Opći dio'!$C$3,'Opći dio'!$L$6:$U$135,9,FALSE))</f>
        <v>Sveučilišta i veleučilišta u Republici Hrvatskoj</v>
      </c>
      <c r="C260" s="154">
        <v>561</v>
      </c>
      <c r="D260" s="149" t="str">
        <f t="shared" ref="D260:D323" si="31">IFERROR(VLOOKUP(C260,$O$6:$P$16,2,FALSE),"")</f>
        <v>Europski socijalni fond (ESF)</v>
      </c>
      <c r="E260" s="154">
        <v>3225</v>
      </c>
      <c r="F260" s="149" t="str">
        <f t="shared" si="30"/>
        <v>Sitni inventar i auto gume</v>
      </c>
      <c r="G260" s="201" t="s">
        <v>896</v>
      </c>
      <c r="H260" s="149" t="str">
        <f t="shared" ref="H260:H323" si="32">IFERROR(VLOOKUP(G260,$X$6:$Y$50,2,FALSE),"")</f>
        <v>OP UČINKOVITI LJUDSKI POTENCIJALI 2014.-2020., PRIORITET 3</v>
      </c>
      <c r="I260" s="198">
        <v>6666</v>
      </c>
      <c r="J260" s="198">
        <v>6666</v>
      </c>
      <c r="K260" s="198">
        <v>6666</v>
      </c>
      <c r="M260" s="144" t="str">
        <f t="shared" ref="M260:M323" si="33">LEFT(E260,3)</f>
        <v>322</v>
      </c>
      <c r="N260" s="144" t="str">
        <f t="shared" ref="N260:N323" si="34">LEFT(E260,2)</f>
        <v>32</v>
      </c>
    </row>
    <row r="261" spans="1:14">
      <c r="A261" s="148" t="str">
        <f>IF(C261="","",VLOOKUP('Opći dio'!$C$3,'Opći dio'!$L$6:$U$135,10,FALSE))</f>
        <v>08006</v>
      </c>
      <c r="B261" s="148" t="str">
        <f>IF(C261="","",VLOOKUP('Opći dio'!$C$3,'Opći dio'!$L$6:$U$135,9,FALSE))</f>
        <v>Sveučilišta i veleučilišta u Republici Hrvatskoj</v>
      </c>
      <c r="C261" s="154">
        <v>561</v>
      </c>
      <c r="D261" s="149" t="str">
        <f t="shared" si="31"/>
        <v>Europski socijalni fond (ESF)</v>
      </c>
      <c r="E261" s="154">
        <v>3231</v>
      </c>
      <c r="F261" s="149" t="str">
        <f t="shared" si="30"/>
        <v>Usluge telefona, pošte i prijevoza</v>
      </c>
      <c r="G261" s="201" t="s">
        <v>896</v>
      </c>
      <c r="H261" s="149" t="str">
        <f t="shared" si="32"/>
        <v>OP UČINKOVITI LJUDSKI POTENCIJALI 2014.-2020., PRIORITET 3</v>
      </c>
      <c r="I261" s="198">
        <v>2000</v>
      </c>
      <c r="J261" s="198">
        <v>2000</v>
      </c>
      <c r="K261" s="198">
        <v>2000</v>
      </c>
      <c r="M261" s="144" t="str">
        <f t="shared" si="33"/>
        <v>323</v>
      </c>
      <c r="N261" s="144" t="str">
        <f t="shared" si="34"/>
        <v>32</v>
      </c>
    </row>
    <row r="262" spans="1:14">
      <c r="A262" s="148" t="str">
        <f>IF(C262="","",VLOOKUP('Opći dio'!$C$3,'Opći dio'!$L$6:$U$135,10,FALSE))</f>
        <v>08006</v>
      </c>
      <c r="B262" s="148" t="str">
        <f>IF(C262="","",VLOOKUP('Opći dio'!$C$3,'Opći dio'!$L$6:$U$135,9,FALSE))</f>
        <v>Sveučilišta i veleučilišta u Republici Hrvatskoj</v>
      </c>
      <c r="C262" s="154">
        <v>561</v>
      </c>
      <c r="D262" s="149" t="str">
        <f t="shared" si="31"/>
        <v>Europski socijalni fond (ESF)</v>
      </c>
      <c r="E262" s="154">
        <v>3233</v>
      </c>
      <c r="F262" s="149" t="str">
        <f t="shared" si="30"/>
        <v>Usluge promidžbe i informiranja</v>
      </c>
      <c r="G262" s="201" t="s">
        <v>896</v>
      </c>
      <c r="H262" s="149" t="str">
        <f t="shared" si="32"/>
        <v>OP UČINKOVITI LJUDSKI POTENCIJALI 2014.-2020., PRIORITET 3</v>
      </c>
      <c r="I262" s="198">
        <v>20000</v>
      </c>
      <c r="J262" s="198">
        <v>20000</v>
      </c>
      <c r="K262" s="198">
        <v>20000</v>
      </c>
      <c r="M262" s="144" t="str">
        <f t="shared" si="33"/>
        <v>323</v>
      </c>
      <c r="N262" s="144" t="str">
        <f t="shared" si="34"/>
        <v>32</v>
      </c>
    </row>
    <row r="263" spans="1:14">
      <c r="A263" s="148" t="str">
        <f>IF(C263="","",VLOOKUP('Opći dio'!$C$3,'Opći dio'!$L$6:$U$135,10,FALSE))</f>
        <v>08006</v>
      </c>
      <c r="B263" s="148" t="str">
        <f>IF(C263="","",VLOOKUP('Opći dio'!$C$3,'Opći dio'!$L$6:$U$135,9,FALSE))</f>
        <v>Sveučilišta i veleučilišta u Republici Hrvatskoj</v>
      </c>
      <c r="C263" s="154">
        <v>561</v>
      </c>
      <c r="D263" s="149" t="str">
        <f t="shared" si="31"/>
        <v>Europski socijalni fond (ESF)</v>
      </c>
      <c r="E263" s="154">
        <v>3234</v>
      </c>
      <c r="F263" s="149" t="str">
        <f t="shared" si="30"/>
        <v>Komunalne usluge</v>
      </c>
      <c r="G263" s="201" t="s">
        <v>896</v>
      </c>
      <c r="H263" s="149" t="str">
        <f t="shared" si="32"/>
        <v>OP UČINKOVITI LJUDSKI POTENCIJALI 2014.-2020., PRIORITET 3</v>
      </c>
      <c r="I263" s="198">
        <v>5000</v>
      </c>
      <c r="J263" s="198">
        <v>5000</v>
      </c>
      <c r="K263" s="198">
        <v>5000</v>
      </c>
      <c r="M263" s="144" t="str">
        <f t="shared" si="33"/>
        <v>323</v>
      </c>
      <c r="N263" s="144" t="str">
        <f t="shared" si="34"/>
        <v>32</v>
      </c>
    </row>
    <row r="264" spans="1:14">
      <c r="A264" s="148" t="str">
        <f>IF(C264="","",VLOOKUP('Opći dio'!$C$3,'Opći dio'!$L$6:$U$135,10,FALSE))</f>
        <v>08006</v>
      </c>
      <c r="B264" s="148" t="str">
        <f>IF(C264="","",VLOOKUP('Opći dio'!$C$3,'Opći dio'!$L$6:$U$135,9,FALSE))</f>
        <v>Sveučilišta i veleučilišta u Republici Hrvatskoj</v>
      </c>
      <c r="C264" s="154">
        <v>561</v>
      </c>
      <c r="D264" s="149" t="str">
        <f t="shared" si="31"/>
        <v>Europski socijalni fond (ESF)</v>
      </c>
      <c r="E264" s="154">
        <v>3235</v>
      </c>
      <c r="F264" s="149" t="str">
        <f t="shared" si="30"/>
        <v>Zakupnine i najamnine</v>
      </c>
      <c r="G264" s="201" t="s">
        <v>896</v>
      </c>
      <c r="H264" s="149" t="str">
        <f t="shared" si="32"/>
        <v>OP UČINKOVITI LJUDSKI POTENCIJALI 2014.-2020., PRIORITET 3</v>
      </c>
      <c r="I264" s="198">
        <v>2200</v>
      </c>
      <c r="J264" s="198">
        <v>2200</v>
      </c>
      <c r="K264" s="198">
        <v>2200</v>
      </c>
      <c r="M264" s="144" t="str">
        <f t="shared" si="33"/>
        <v>323</v>
      </c>
      <c r="N264" s="144" t="str">
        <f t="shared" si="34"/>
        <v>32</v>
      </c>
    </row>
    <row r="265" spans="1:14">
      <c r="A265" s="148" t="str">
        <f>IF(C265="","",VLOOKUP('Opći dio'!$C$3,'Opći dio'!$L$6:$U$135,10,FALSE))</f>
        <v>08006</v>
      </c>
      <c r="B265" s="148" t="str">
        <f>IF(C265="","",VLOOKUP('Opći dio'!$C$3,'Opći dio'!$L$6:$U$135,9,FALSE))</f>
        <v>Sveučilišta i veleučilišta u Republici Hrvatskoj</v>
      </c>
      <c r="C265" s="154">
        <v>561</v>
      </c>
      <c r="D265" s="149" t="str">
        <f t="shared" si="31"/>
        <v>Europski socijalni fond (ESF)</v>
      </c>
      <c r="E265" s="154">
        <v>3237</v>
      </c>
      <c r="F265" s="149" t="str">
        <f t="shared" si="30"/>
        <v>Intelektualne i osobne usluge</v>
      </c>
      <c r="G265" s="201" t="s">
        <v>896</v>
      </c>
      <c r="H265" s="149" t="str">
        <f t="shared" si="32"/>
        <v>OP UČINKOVITI LJUDSKI POTENCIJALI 2014.-2020., PRIORITET 3</v>
      </c>
      <c r="I265" s="198">
        <v>70000</v>
      </c>
      <c r="J265" s="198">
        <v>72400</v>
      </c>
      <c r="K265" s="198">
        <v>74600</v>
      </c>
      <c r="M265" s="144" t="str">
        <f t="shared" si="33"/>
        <v>323</v>
      </c>
      <c r="N265" s="144" t="str">
        <f t="shared" si="34"/>
        <v>32</v>
      </c>
    </row>
    <row r="266" spans="1:14">
      <c r="A266" s="148" t="str">
        <f>IF(C266="","",VLOOKUP('Opći dio'!$C$3,'Opći dio'!$L$6:$U$135,10,FALSE))</f>
        <v>08006</v>
      </c>
      <c r="B266" s="148" t="str">
        <f>IF(C266="","",VLOOKUP('Opći dio'!$C$3,'Opći dio'!$L$6:$U$135,9,FALSE))</f>
        <v>Sveučilišta i veleučilišta u Republici Hrvatskoj</v>
      </c>
      <c r="C266" s="154">
        <v>561</v>
      </c>
      <c r="D266" s="149" t="str">
        <f t="shared" si="31"/>
        <v>Europski socijalni fond (ESF)</v>
      </c>
      <c r="E266" s="154">
        <v>3238</v>
      </c>
      <c r="F266" s="149" t="str">
        <f t="shared" si="30"/>
        <v>Računalne usluge</v>
      </c>
      <c r="G266" s="201" t="s">
        <v>896</v>
      </c>
      <c r="H266" s="149" t="str">
        <f t="shared" si="32"/>
        <v>OP UČINKOVITI LJUDSKI POTENCIJALI 2014.-2020., PRIORITET 3</v>
      </c>
      <c r="I266" s="198">
        <v>2500</v>
      </c>
      <c r="J266" s="198">
        <v>2500</v>
      </c>
      <c r="K266" s="198">
        <v>2500</v>
      </c>
      <c r="M266" s="144" t="str">
        <f t="shared" si="33"/>
        <v>323</v>
      </c>
      <c r="N266" s="144" t="str">
        <f t="shared" si="34"/>
        <v>32</v>
      </c>
    </row>
    <row r="267" spans="1:14">
      <c r="A267" s="148" t="str">
        <f>IF(C267="","",VLOOKUP('Opći dio'!$C$3,'Opći dio'!$L$6:$U$135,10,FALSE))</f>
        <v>08006</v>
      </c>
      <c r="B267" s="148" t="str">
        <f>IF(C267="","",VLOOKUP('Opći dio'!$C$3,'Opći dio'!$L$6:$U$135,9,FALSE))</f>
        <v>Sveučilišta i veleučilišta u Republici Hrvatskoj</v>
      </c>
      <c r="C267" s="154">
        <v>561</v>
      </c>
      <c r="D267" s="149" t="str">
        <f t="shared" si="31"/>
        <v>Europski socijalni fond (ESF)</v>
      </c>
      <c r="E267" s="154">
        <v>3239</v>
      </c>
      <c r="F267" s="149" t="str">
        <f t="shared" si="30"/>
        <v>Ostale usluge</v>
      </c>
      <c r="G267" s="201" t="s">
        <v>896</v>
      </c>
      <c r="H267" s="149" t="str">
        <f t="shared" si="32"/>
        <v>OP UČINKOVITI LJUDSKI POTENCIJALI 2014.-2020., PRIORITET 3</v>
      </c>
      <c r="I267" s="198">
        <v>3333</v>
      </c>
      <c r="J267" s="198">
        <v>3333</v>
      </c>
      <c r="K267" s="198">
        <v>3333</v>
      </c>
      <c r="M267" s="144" t="str">
        <f t="shared" si="33"/>
        <v>323</v>
      </c>
      <c r="N267" s="144" t="str">
        <f t="shared" si="34"/>
        <v>32</v>
      </c>
    </row>
    <row r="268" spans="1:14">
      <c r="A268" s="148" t="str">
        <f>IF(C268="","",VLOOKUP('Opći dio'!$C$3,'Opći dio'!$L$6:$U$135,10,FALSE))</f>
        <v>08006</v>
      </c>
      <c r="B268" s="148" t="str">
        <f>IF(C268="","",VLOOKUP('Opći dio'!$C$3,'Opći dio'!$L$6:$U$135,9,FALSE))</f>
        <v>Sveučilišta i veleučilišta u Republici Hrvatskoj</v>
      </c>
      <c r="C268" s="154">
        <v>561</v>
      </c>
      <c r="D268" s="149" t="str">
        <f t="shared" si="31"/>
        <v>Europski socijalni fond (ESF)</v>
      </c>
      <c r="E268" s="154">
        <v>3293</v>
      </c>
      <c r="F268" s="149" t="str">
        <f t="shared" si="30"/>
        <v>Reprezentacija</v>
      </c>
      <c r="G268" s="201" t="s">
        <v>896</v>
      </c>
      <c r="H268" s="149" t="str">
        <f t="shared" si="32"/>
        <v>OP UČINKOVITI LJUDSKI POTENCIJALI 2014.-2020., PRIORITET 3</v>
      </c>
      <c r="I268" s="198">
        <v>18700</v>
      </c>
      <c r="J268" s="198">
        <v>9900</v>
      </c>
      <c r="K268" s="198">
        <v>13825</v>
      </c>
      <c r="M268" s="144" t="str">
        <f t="shared" si="33"/>
        <v>329</v>
      </c>
      <c r="N268" s="144" t="str">
        <f t="shared" si="34"/>
        <v>32</v>
      </c>
    </row>
    <row r="269" spans="1:14">
      <c r="A269" s="148" t="str">
        <f>IF(C269="","",VLOOKUP('Opći dio'!$C$3,'Opći dio'!$L$6:$U$135,10,FALSE))</f>
        <v>08006</v>
      </c>
      <c r="B269" s="148" t="str">
        <f>IF(C269="","",VLOOKUP('Opći dio'!$C$3,'Opći dio'!$L$6:$U$135,9,FALSE))</f>
        <v>Sveučilišta i veleučilišta u Republici Hrvatskoj</v>
      </c>
      <c r="C269" s="154">
        <v>561</v>
      </c>
      <c r="D269" s="149" t="str">
        <f t="shared" si="31"/>
        <v>Europski socijalni fond (ESF)</v>
      </c>
      <c r="E269" s="154">
        <v>3295</v>
      </c>
      <c r="F269" s="149" t="str">
        <f t="shared" si="30"/>
        <v>Pristojbe i naknade</v>
      </c>
      <c r="G269" s="201" t="s">
        <v>896</v>
      </c>
      <c r="H269" s="149" t="str">
        <f t="shared" si="32"/>
        <v>OP UČINKOVITI LJUDSKI POTENCIJALI 2014.-2020., PRIORITET 3</v>
      </c>
      <c r="I269" s="198">
        <v>2000</v>
      </c>
      <c r="J269" s="198">
        <v>2000</v>
      </c>
      <c r="K269" s="198">
        <v>2000</v>
      </c>
      <c r="M269" s="144" t="str">
        <f t="shared" si="33"/>
        <v>329</v>
      </c>
      <c r="N269" s="144" t="str">
        <f t="shared" si="34"/>
        <v>32</v>
      </c>
    </row>
    <row r="270" spans="1:14">
      <c r="A270" s="148" t="str">
        <f>IF(C270="","",VLOOKUP('Opći dio'!$C$3,'Opći dio'!$L$6:$U$135,10,FALSE))</f>
        <v>08006</v>
      </c>
      <c r="B270" s="148" t="str">
        <f>IF(C270="","",VLOOKUP('Opći dio'!$C$3,'Opći dio'!$L$6:$U$135,9,FALSE))</f>
        <v>Sveučilišta i veleučilišta u Republici Hrvatskoj</v>
      </c>
      <c r="C270" s="154">
        <v>561</v>
      </c>
      <c r="D270" s="149" t="str">
        <f t="shared" si="31"/>
        <v>Europski socijalni fond (ESF)</v>
      </c>
      <c r="E270" s="154">
        <v>4224</v>
      </c>
      <c r="F270" s="149" t="str">
        <f t="shared" si="30"/>
        <v>Medicinska i laboratorijska oprema</v>
      </c>
      <c r="G270" s="201" t="s">
        <v>896</v>
      </c>
      <c r="H270" s="149" t="str">
        <f t="shared" si="32"/>
        <v>OP UČINKOVITI LJUDSKI POTENCIJALI 2014.-2020., PRIORITET 3</v>
      </c>
      <c r="I270" s="198">
        <v>267928</v>
      </c>
      <c r="J270" s="198">
        <v>102473</v>
      </c>
      <c r="K270" s="198">
        <v>72700</v>
      </c>
      <c r="M270" s="144" t="str">
        <f t="shared" si="33"/>
        <v>422</v>
      </c>
      <c r="N270" s="144" t="str">
        <f t="shared" si="34"/>
        <v>42</v>
      </c>
    </row>
    <row r="271" spans="1:14">
      <c r="A271" s="148" t="str">
        <f>IF(C271="","",VLOOKUP('Opći dio'!$C$3,'Opći dio'!$L$6:$U$135,10,FALSE))</f>
        <v>08006</v>
      </c>
      <c r="B271" s="148" t="str">
        <f>IF(C271="","",VLOOKUP('Opći dio'!$C$3,'Opći dio'!$L$6:$U$135,9,FALSE))</f>
        <v>Sveučilišta i veleučilišta u Republici Hrvatskoj</v>
      </c>
      <c r="C271" s="154">
        <v>12</v>
      </c>
      <c r="D271" s="149" t="str">
        <f t="shared" si="31"/>
        <v>Sredstva učešća za pomoći</v>
      </c>
      <c r="E271" s="154">
        <v>3111</v>
      </c>
      <c r="F271" s="149" t="str">
        <f t="shared" si="30"/>
        <v>Plaće za redovan rad</v>
      </c>
      <c r="G271" s="201" t="s">
        <v>896</v>
      </c>
      <c r="H271" s="149" t="str">
        <f t="shared" si="32"/>
        <v>OP UČINKOVITI LJUDSKI POTENCIJALI 2014.-2020., PRIORITET 3</v>
      </c>
      <c r="I271" s="198">
        <v>162119</v>
      </c>
      <c r="J271" s="198">
        <v>164931</v>
      </c>
      <c r="K271" s="198">
        <v>166519</v>
      </c>
      <c r="M271" s="144" t="str">
        <f t="shared" si="33"/>
        <v>311</v>
      </c>
      <c r="N271" s="144" t="str">
        <f t="shared" si="34"/>
        <v>31</v>
      </c>
    </row>
    <row r="272" spans="1:14">
      <c r="A272" s="148" t="str">
        <f>IF(C272="","",VLOOKUP('Opći dio'!$C$3,'Opći dio'!$L$6:$U$135,10,FALSE))</f>
        <v>08006</v>
      </c>
      <c r="B272" s="148" t="str">
        <f>IF(C272="","",VLOOKUP('Opći dio'!$C$3,'Opći dio'!$L$6:$U$135,9,FALSE))</f>
        <v>Sveučilišta i veleučilišta u Republici Hrvatskoj</v>
      </c>
      <c r="C272" s="154">
        <v>12</v>
      </c>
      <c r="D272" s="149" t="str">
        <f t="shared" si="31"/>
        <v>Sredstva učešća za pomoći</v>
      </c>
      <c r="E272" s="154">
        <v>3121</v>
      </c>
      <c r="F272" s="149" t="str">
        <f t="shared" si="30"/>
        <v>Ostali rashodi za zaposlene</v>
      </c>
      <c r="G272" s="201" t="s">
        <v>896</v>
      </c>
      <c r="H272" s="149" t="str">
        <f t="shared" si="32"/>
        <v>OP UČINKOVITI LJUDSKI POTENCIJALI 2014.-2020., PRIORITET 3</v>
      </c>
      <c r="I272" s="198">
        <v>1787</v>
      </c>
      <c r="J272" s="198">
        <v>1787</v>
      </c>
      <c r="K272" s="198">
        <v>1787</v>
      </c>
      <c r="M272" s="144" t="str">
        <f t="shared" si="33"/>
        <v>312</v>
      </c>
      <c r="N272" s="144" t="str">
        <f t="shared" si="34"/>
        <v>31</v>
      </c>
    </row>
    <row r="273" spans="1:14">
      <c r="A273" s="148" t="str">
        <f>IF(C273="","",VLOOKUP('Opći dio'!$C$3,'Opći dio'!$L$6:$U$135,10,FALSE))</f>
        <v>08006</v>
      </c>
      <c r="B273" s="148" t="str">
        <f>IF(C273="","",VLOOKUP('Opći dio'!$C$3,'Opći dio'!$L$6:$U$135,9,FALSE))</f>
        <v>Sveučilišta i veleučilišta u Republici Hrvatskoj</v>
      </c>
      <c r="C273" s="154">
        <v>12</v>
      </c>
      <c r="D273" s="149" t="str">
        <f t="shared" si="31"/>
        <v>Sredstva učešća za pomoći</v>
      </c>
      <c r="E273" s="154">
        <v>3132</v>
      </c>
      <c r="F273" s="149" t="str">
        <f t="shared" si="30"/>
        <v>Doprinosi za obvezno zdravstveno osiguranje</v>
      </c>
      <c r="G273" s="201" t="s">
        <v>896</v>
      </c>
      <c r="H273" s="149" t="str">
        <f t="shared" si="32"/>
        <v>OP UČINKOVITI LJUDSKI POTENCIJALI 2014.-2020., PRIORITET 3</v>
      </c>
      <c r="I273" s="198">
        <v>22488</v>
      </c>
      <c r="J273" s="198">
        <v>22966</v>
      </c>
      <c r="K273" s="198">
        <v>23898</v>
      </c>
      <c r="M273" s="144" t="str">
        <f t="shared" si="33"/>
        <v>313</v>
      </c>
      <c r="N273" s="144" t="str">
        <f t="shared" si="34"/>
        <v>31</v>
      </c>
    </row>
    <row r="274" spans="1:14">
      <c r="A274" s="148" t="str">
        <f>IF(C274="","",VLOOKUP('Opći dio'!$C$3,'Opći dio'!$L$6:$U$135,10,FALSE))</f>
        <v>08006</v>
      </c>
      <c r="B274" s="148" t="str">
        <f>IF(C274="","",VLOOKUP('Opći dio'!$C$3,'Opći dio'!$L$6:$U$135,9,FALSE))</f>
        <v>Sveučilišta i veleučilišta u Republici Hrvatskoj</v>
      </c>
      <c r="C274" s="154">
        <v>12</v>
      </c>
      <c r="D274" s="149" t="str">
        <f t="shared" si="31"/>
        <v>Sredstva učešća za pomoći</v>
      </c>
      <c r="E274" s="154">
        <v>3212</v>
      </c>
      <c r="F274" s="149" t="str">
        <f t="shared" si="30"/>
        <v>Naknade za prijevoz, za rad na terenu i odvojeni život</v>
      </c>
      <c r="G274" s="201" t="s">
        <v>896</v>
      </c>
      <c r="H274" s="149" t="str">
        <f t="shared" si="32"/>
        <v>OP UČINKOVITI LJUDSKI POTENCIJALI 2014.-2020., PRIORITET 3</v>
      </c>
      <c r="I274" s="198">
        <v>3713</v>
      </c>
      <c r="J274" s="198">
        <v>3713</v>
      </c>
      <c r="K274" s="198">
        <v>3713</v>
      </c>
      <c r="M274" s="144" t="str">
        <f t="shared" si="33"/>
        <v>321</v>
      </c>
      <c r="N274" s="144" t="str">
        <f t="shared" si="34"/>
        <v>32</v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1"/>
        <v/>
      </c>
      <c r="E275" s="154"/>
      <c r="F275" s="149" t="str">
        <f t="shared" si="30"/>
        <v/>
      </c>
      <c r="G275" s="201"/>
      <c r="H275" s="149" t="str">
        <f t="shared" si="32"/>
        <v/>
      </c>
      <c r="I275" s="198">
        <v>0</v>
      </c>
      <c r="J275" s="198">
        <v>0</v>
      </c>
      <c r="K275" s="198">
        <v>0</v>
      </c>
      <c r="M275" s="144" t="str">
        <f t="shared" si="33"/>
        <v/>
      </c>
      <c r="N275" s="144" t="str">
        <f t="shared" si="34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1"/>
        <v/>
      </c>
      <c r="E276" s="154"/>
      <c r="F276" s="149" t="str">
        <f t="shared" si="30"/>
        <v/>
      </c>
      <c r="G276" s="201"/>
      <c r="H276" s="149" t="str">
        <f t="shared" si="32"/>
        <v/>
      </c>
      <c r="I276" s="198">
        <v>0</v>
      </c>
      <c r="J276" s="198">
        <v>0</v>
      </c>
      <c r="K276" s="198">
        <v>0</v>
      </c>
      <c r="M276" s="144" t="str">
        <f t="shared" si="33"/>
        <v/>
      </c>
      <c r="N276" s="144" t="str">
        <f t="shared" si="34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1"/>
        <v/>
      </c>
      <c r="E277" s="154"/>
      <c r="F277" s="149" t="str">
        <f t="shared" si="30"/>
        <v/>
      </c>
      <c r="G277" s="201"/>
      <c r="H277" s="149" t="str">
        <f t="shared" si="32"/>
        <v/>
      </c>
      <c r="I277" s="198">
        <v>0</v>
      </c>
      <c r="J277" s="198">
        <v>0</v>
      </c>
      <c r="K277" s="198">
        <v>0</v>
      </c>
      <c r="M277" s="144" t="str">
        <f t="shared" si="33"/>
        <v/>
      </c>
      <c r="N277" s="144" t="str">
        <f t="shared" si="34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1"/>
        <v/>
      </c>
      <c r="E278" s="154"/>
      <c r="F278" s="149" t="str">
        <f t="shared" si="30"/>
        <v/>
      </c>
      <c r="G278" s="201"/>
      <c r="H278" s="149" t="str">
        <f t="shared" si="32"/>
        <v/>
      </c>
      <c r="I278" s="198">
        <v>0</v>
      </c>
      <c r="J278" s="198">
        <v>0</v>
      </c>
      <c r="K278" s="198">
        <v>0</v>
      </c>
      <c r="M278" s="144" t="str">
        <f t="shared" si="33"/>
        <v/>
      </c>
      <c r="N278" s="144" t="str">
        <f t="shared" si="34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1"/>
        <v/>
      </c>
      <c r="E279" s="154"/>
      <c r="F279" s="149" t="str">
        <f t="shared" si="30"/>
        <v/>
      </c>
      <c r="G279" s="201"/>
      <c r="H279" s="149" t="str">
        <f t="shared" si="32"/>
        <v/>
      </c>
      <c r="I279" s="198">
        <v>0</v>
      </c>
      <c r="J279" s="198">
        <v>0</v>
      </c>
      <c r="K279" s="198">
        <v>0</v>
      </c>
      <c r="M279" s="144" t="str">
        <f t="shared" si="33"/>
        <v/>
      </c>
      <c r="N279" s="144" t="str">
        <f t="shared" si="34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1"/>
        <v/>
      </c>
      <c r="E280" s="154"/>
      <c r="F280" s="149" t="str">
        <f t="shared" si="30"/>
        <v/>
      </c>
      <c r="G280" s="201"/>
      <c r="H280" s="149" t="str">
        <f t="shared" si="32"/>
        <v/>
      </c>
      <c r="I280" s="198">
        <v>0</v>
      </c>
      <c r="J280" s="198">
        <v>0</v>
      </c>
      <c r="K280" s="198">
        <v>0</v>
      </c>
      <c r="M280" s="144" t="str">
        <f t="shared" si="33"/>
        <v/>
      </c>
      <c r="N280" s="144" t="str">
        <f t="shared" si="34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1"/>
        <v/>
      </c>
      <c r="E281" s="154"/>
      <c r="F281" s="149" t="str">
        <f t="shared" si="30"/>
        <v/>
      </c>
      <c r="G281" s="201"/>
      <c r="H281" s="149" t="str">
        <f t="shared" si="32"/>
        <v/>
      </c>
      <c r="I281" s="198">
        <v>0</v>
      </c>
      <c r="J281" s="198">
        <v>0</v>
      </c>
      <c r="K281" s="198">
        <v>0</v>
      </c>
      <c r="M281" s="144" t="str">
        <f t="shared" si="33"/>
        <v/>
      </c>
      <c r="N281" s="144" t="str">
        <f t="shared" si="34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1"/>
        <v/>
      </c>
      <c r="E282" s="154"/>
      <c r="F282" s="149" t="str">
        <f t="shared" si="30"/>
        <v/>
      </c>
      <c r="G282" s="201"/>
      <c r="H282" s="149" t="str">
        <f t="shared" si="32"/>
        <v/>
      </c>
      <c r="I282" s="198">
        <v>0</v>
      </c>
      <c r="J282" s="198">
        <v>0</v>
      </c>
      <c r="K282" s="198">
        <v>0</v>
      </c>
      <c r="M282" s="144" t="str">
        <f t="shared" si="33"/>
        <v/>
      </c>
      <c r="N282" s="144" t="str">
        <f t="shared" si="34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1"/>
        <v/>
      </c>
      <c r="E283" s="154"/>
      <c r="F283" s="149" t="str">
        <f t="shared" si="30"/>
        <v/>
      </c>
      <c r="G283" s="201"/>
      <c r="H283" s="149" t="str">
        <f t="shared" si="32"/>
        <v/>
      </c>
      <c r="I283" s="198">
        <v>0</v>
      </c>
      <c r="J283" s="198">
        <v>0</v>
      </c>
      <c r="K283" s="198">
        <v>0</v>
      </c>
      <c r="M283" s="144" t="str">
        <f t="shared" si="33"/>
        <v/>
      </c>
      <c r="N283" s="144" t="str">
        <f t="shared" si="34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1"/>
        <v/>
      </c>
      <c r="E284" s="154"/>
      <c r="F284" s="149" t="str">
        <f t="shared" si="30"/>
        <v/>
      </c>
      <c r="G284" s="201"/>
      <c r="H284" s="149" t="str">
        <f t="shared" si="32"/>
        <v/>
      </c>
      <c r="I284" s="198">
        <v>0</v>
      </c>
      <c r="J284" s="198">
        <v>0</v>
      </c>
      <c r="K284" s="198">
        <v>0</v>
      </c>
      <c r="M284" s="144" t="str">
        <f t="shared" si="33"/>
        <v/>
      </c>
      <c r="N284" s="144" t="str">
        <f t="shared" si="34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1"/>
        <v/>
      </c>
      <c r="E285" s="154"/>
      <c r="F285" s="149" t="str">
        <f t="shared" si="30"/>
        <v/>
      </c>
      <c r="G285" s="201"/>
      <c r="H285" s="149" t="str">
        <f t="shared" si="32"/>
        <v/>
      </c>
      <c r="I285" s="198">
        <v>0</v>
      </c>
      <c r="J285" s="198">
        <v>0</v>
      </c>
      <c r="K285" s="198">
        <v>0</v>
      </c>
      <c r="M285" s="144" t="str">
        <f t="shared" si="33"/>
        <v/>
      </c>
      <c r="N285" s="144" t="str">
        <f t="shared" si="34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1"/>
        <v/>
      </c>
      <c r="E286" s="154"/>
      <c r="F286" s="149" t="str">
        <f t="shared" si="30"/>
        <v/>
      </c>
      <c r="G286" s="201"/>
      <c r="H286" s="149" t="str">
        <f t="shared" si="32"/>
        <v/>
      </c>
      <c r="I286" s="198">
        <v>0</v>
      </c>
      <c r="J286" s="198">
        <v>0</v>
      </c>
      <c r="K286" s="198">
        <v>0</v>
      </c>
      <c r="M286" s="144" t="str">
        <f t="shared" si="33"/>
        <v/>
      </c>
      <c r="N286" s="144" t="str">
        <f t="shared" si="34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1"/>
        <v/>
      </c>
      <c r="E287" s="154"/>
      <c r="F287" s="149" t="str">
        <f t="shared" si="30"/>
        <v/>
      </c>
      <c r="G287" s="201"/>
      <c r="H287" s="149" t="str">
        <f t="shared" si="32"/>
        <v/>
      </c>
      <c r="I287" s="198">
        <v>0</v>
      </c>
      <c r="J287" s="198">
        <v>0</v>
      </c>
      <c r="K287" s="198">
        <v>0</v>
      </c>
      <c r="M287" s="144" t="str">
        <f t="shared" si="33"/>
        <v/>
      </c>
      <c r="N287" s="144" t="str">
        <f t="shared" si="34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1"/>
        <v/>
      </c>
      <c r="E288" s="154"/>
      <c r="F288" s="149" t="str">
        <f t="shared" si="30"/>
        <v/>
      </c>
      <c r="G288" s="201"/>
      <c r="H288" s="149" t="str">
        <f t="shared" si="32"/>
        <v/>
      </c>
      <c r="I288" s="198">
        <v>0</v>
      </c>
      <c r="J288" s="198">
        <v>0</v>
      </c>
      <c r="K288" s="198">
        <v>0</v>
      </c>
      <c r="M288" s="144" t="str">
        <f t="shared" si="33"/>
        <v/>
      </c>
      <c r="N288" s="144" t="str">
        <f t="shared" si="34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1"/>
        <v/>
      </c>
      <c r="E289" s="154"/>
      <c r="F289" s="149" t="str">
        <f t="shared" si="30"/>
        <v/>
      </c>
      <c r="G289" s="201"/>
      <c r="H289" s="149" t="str">
        <f t="shared" si="32"/>
        <v/>
      </c>
      <c r="I289" s="198">
        <v>0</v>
      </c>
      <c r="J289" s="198">
        <v>0</v>
      </c>
      <c r="K289" s="198">
        <v>0</v>
      </c>
      <c r="M289" s="144" t="str">
        <f t="shared" si="33"/>
        <v/>
      </c>
      <c r="N289" s="144" t="str">
        <f t="shared" si="34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1"/>
        <v/>
      </c>
      <c r="E290" s="154"/>
      <c r="F290" s="149" t="str">
        <f t="shared" si="30"/>
        <v/>
      </c>
      <c r="G290" s="201"/>
      <c r="H290" s="149" t="str">
        <f t="shared" si="32"/>
        <v/>
      </c>
      <c r="I290" s="198">
        <v>0</v>
      </c>
      <c r="J290" s="198">
        <v>0</v>
      </c>
      <c r="K290" s="198">
        <v>0</v>
      </c>
      <c r="M290" s="144" t="str">
        <f t="shared" si="33"/>
        <v/>
      </c>
      <c r="N290" s="144" t="str">
        <f t="shared" si="34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1"/>
        <v/>
      </c>
      <c r="E291" s="154"/>
      <c r="F291" s="149" t="str">
        <f t="shared" si="30"/>
        <v/>
      </c>
      <c r="G291" s="201"/>
      <c r="H291" s="149" t="str">
        <f t="shared" si="32"/>
        <v/>
      </c>
      <c r="I291" s="198">
        <v>0</v>
      </c>
      <c r="J291" s="198">
        <v>0</v>
      </c>
      <c r="K291" s="198">
        <v>0</v>
      </c>
      <c r="M291" s="144" t="str">
        <f t="shared" si="33"/>
        <v/>
      </c>
      <c r="N291" s="144" t="str">
        <f t="shared" si="34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1"/>
        <v/>
      </c>
      <c r="E292" s="154"/>
      <c r="F292" s="149" t="str">
        <f t="shared" si="30"/>
        <v/>
      </c>
      <c r="G292" s="201"/>
      <c r="H292" s="149" t="str">
        <f t="shared" si="32"/>
        <v/>
      </c>
      <c r="I292" s="198">
        <v>0</v>
      </c>
      <c r="J292" s="198">
        <v>0</v>
      </c>
      <c r="K292" s="198">
        <v>0</v>
      </c>
      <c r="M292" s="144" t="str">
        <f t="shared" si="33"/>
        <v/>
      </c>
      <c r="N292" s="144" t="str">
        <f t="shared" si="34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1"/>
        <v/>
      </c>
      <c r="E293" s="154"/>
      <c r="F293" s="149" t="str">
        <f t="shared" si="30"/>
        <v/>
      </c>
      <c r="G293" s="201"/>
      <c r="H293" s="149" t="str">
        <f t="shared" si="32"/>
        <v/>
      </c>
      <c r="I293" s="198">
        <v>0</v>
      </c>
      <c r="J293" s="198">
        <v>0</v>
      </c>
      <c r="K293" s="198">
        <v>0</v>
      </c>
      <c r="M293" s="144" t="str">
        <f t="shared" si="33"/>
        <v/>
      </c>
      <c r="N293" s="144" t="str">
        <f t="shared" si="34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1"/>
        <v/>
      </c>
      <c r="E294" s="154"/>
      <c r="F294" s="149" t="str">
        <f t="shared" si="30"/>
        <v/>
      </c>
      <c r="G294" s="201"/>
      <c r="H294" s="149" t="str">
        <f t="shared" si="32"/>
        <v/>
      </c>
      <c r="I294" s="198">
        <v>0</v>
      </c>
      <c r="J294" s="198">
        <v>0</v>
      </c>
      <c r="K294" s="198">
        <v>0</v>
      </c>
      <c r="M294" s="144" t="str">
        <f t="shared" si="33"/>
        <v/>
      </c>
      <c r="N294" s="144" t="str">
        <f t="shared" si="34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1"/>
        <v/>
      </c>
      <c r="E295" s="154"/>
      <c r="F295" s="149" t="str">
        <f t="shared" si="30"/>
        <v/>
      </c>
      <c r="G295" s="201"/>
      <c r="H295" s="149" t="str">
        <f t="shared" si="32"/>
        <v/>
      </c>
      <c r="I295" s="198">
        <v>0</v>
      </c>
      <c r="J295" s="198">
        <v>0</v>
      </c>
      <c r="K295" s="198">
        <v>0</v>
      </c>
      <c r="M295" s="144" t="str">
        <f t="shared" si="33"/>
        <v/>
      </c>
      <c r="N295" s="144" t="str">
        <f t="shared" si="34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1"/>
        <v/>
      </c>
      <c r="E296" s="154"/>
      <c r="F296" s="149" t="str">
        <f t="shared" si="30"/>
        <v/>
      </c>
      <c r="G296" s="201"/>
      <c r="H296" s="149" t="str">
        <f t="shared" si="32"/>
        <v/>
      </c>
      <c r="I296" s="198">
        <v>0</v>
      </c>
      <c r="J296" s="198">
        <v>0</v>
      </c>
      <c r="K296" s="198">
        <v>0</v>
      </c>
      <c r="M296" s="144" t="str">
        <f t="shared" si="33"/>
        <v/>
      </c>
      <c r="N296" s="144" t="str">
        <f t="shared" si="34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1"/>
        <v/>
      </c>
      <c r="E297" s="154"/>
      <c r="F297" s="149" t="str">
        <f t="shared" si="30"/>
        <v/>
      </c>
      <c r="G297" s="201"/>
      <c r="H297" s="149" t="str">
        <f t="shared" si="32"/>
        <v/>
      </c>
      <c r="I297" s="198">
        <v>0</v>
      </c>
      <c r="J297" s="198">
        <v>0</v>
      </c>
      <c r="K297" s="198">
        <v>0</v>
      </c>
      <c r="M297" s="144" t="str">
        <f t="shared" si="33"/>
        <v/>
      </c>
      <c r="N297" s="144" t="str">
        <f t="shared" si="34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1"/>
        <v/>
      </c>
      <c r="E298" s="154"/>
      <c r="F298" s="149" t="str">
        <f t="shared" si="30"/>
        <v/>
      </c>
      <c r="G298" s="201"/>
      <c r="H298" s="149" t="str">
        <f t="shared" si="32"/>
        <v/>
      </c>
      <c r="I298" s="198">
        <v>0</v>
      </c>
      <c r="J298" s="198">
        <v>0</v>
      </c>
      <c r="K298" s="198">
        <v>0</v>
      </c>
      <c r="M298" s="144" t="str">
        <f t="shared" si="33"/>
        <v/>
      </c>
      <c r="N298" s="144" t="str">
        <f t="shared" si="34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1"/>
        <v/>
      </c>
      <c r="E299" s="154"/>
      <c r="F299" s="149" t="str">
        <f t="shared" si="30"/>
        <v/>
      </c>
      <c r="G299" s="201"/>
      <c r="H299" s="149" t="str">
        <f t="shared" si="32"/>
        <v/>
      </c>
      <c r="I299" s="198">
        <v>0</v>
      </c>
      <c r="J299" s="198">
        <v>0</v>
      </c>
      <c r="K299" s="198">
        <v>0</v>
      </c>
      <c r="M299" s="144" t="str">
        <f t="shared" si="33"/>
        <v/>
      </c>
      <c r="N299" s="144" t="str">
        <f t="shared" si="34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1"/>
        <v/>
      </c>
      <c r="E300" s="154"/>
      <c r="F300" s="149" t="str">
        <f t="shared" si="30"/>
        <v/>
      </c>
      <c r="G300" s="201"/>
      <c r="H300" s="149" t="str">
        <f t="shared" si="32"/>
        <v/>
      </c>
      <c r="I300" s="198">
        <v>0</v>
      </c>
      <c r="J300" s="198">
        <v>0</v>
      </c>
      <c r="K300" s="198">
        <v>0</v>
      </c>
      <c r="M300" s="144" t="str">
        <f t="shared" si="33"/>
        <v/>
      </c>
      <c r="N300" s="144" t="str">
        <f t="shared" si="34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1"/>
        <v/>
      </c>
      <c r="E301" s="154"/>
      <c r="F301" s="149" t="str">
        <f t="shared" si="30"/>
        <v/>
      </c>
      <c r="G301" s="201"/>
      <c r="H301" s="149" t="str">
        <f t="shared" si="32"/>
        <v/>
      </c>
      <c r="I301" s="198">
        <v>0</v>
      </c>
      <c r="J301" s="198">
        <v>0</v>
      </c>
      <c r="K301" s="198">
        <v>0</v>
      </c>
      <c r="M301" s="144" t="str">
        <f t="shared" si="33"/>
        <v/>
      </c>
      <c r="N301" s="144" t="str">
        <f t="shared" si="34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1"/>
        <v/>
      </c>
      <c r="E302" s="154"/>
      <c r="F302" s="149" t="str">
        <f t="shared" si="30"/>
        <v/>
      </c>
      <c r="G302" s="201"/>
      <c r="H302" s="149" t="str">
        <f t="shared" si="32"/>
        <v/>
      </c>
      <c r="I302" s="198">
        <v>0</v>
      </c>
      <c r="J302" s="198">
        <v>0</v>
      </c>
      <c r="K302" s="198">
        <v>0</v>
      </c>
      <c r="M302" s="144" t="str">
        <f t="shared" si="33"/>
        <v/>
      </c>
      <c r="N302" s="144" t="str">
        <f t="shared" si="34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1"/>
        <v/>
      </c>
      <c r="E303" s="154"/>
      <c r="F303" s="149" t="str">
        <f t="shared" si="30"/>
        <v/>
      </c>
      <c r="G303" s="201"/>
      <c r="H303" s="149" t="str">
        <f t="shared" si="32"/>
        <v/>
      </c>
      <c r="I303" s="198">
        <v>0</v>
      </c>
      <c r="J303" s="198">
        <v>0</v>
      </c>
      <c r="K303" s="198">
        <v>0</v>
      </c>
      <c r="M303" s="144" t="str">
        <f t="shared" si="33"/>
        <v/>
      </c>
      <c r="N303" s="144" t="str">
        <f t="shared" si="34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1"/>
        <v/>
      </c>
      <c r="E304" s="154"/>
      <c r="F304" s="149" t="str">
        <f t="shared" si="30"/>
        <v/>
      </c>
      <c r="G304" s="201"/>
      <c r="H304" s="149" t="str">
        <f t="shared" si="32"/>
        <v/>
      </c>
      <c r="I304" s="198">
        <v>0</v>
      </c>
      <c r="J304" s="198">
        <v>0</v>
      </c>
      <c r="K304" s="198">
        <v>0</v>
      </c>
      <c r="M304" s="144" t="str">
        <f t="shared" si="33"/>
        <v/>
      </c>
      <c r="N304" s="144" t="str">
        <f t="shared" si="34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1"/>
        <v/>
      </c>
      <c r="E305" s="154"/>
      <c r="F305" s="149" t="str">
        <f t="shared" si="30"/>
        <v/>
      </c>
      <c r="G305" s="201"/>
      <c r="H305" s="149" t="str">
        <f t="shared" si="32"/>
        <v/>
      </c>
      <c r="I305" s="198">
        <v>0</v>
      </c>
      <c r="J305" s="198">
        <v>0</v>
      </c>
      <c r="K305" s="198">
        <v>0</v>
      </c>
      <c r="M305" s="144" t="str">
        <f t="shared" si="33"/>
        <v/>
      </c>
      <c r="N305" s="144" t="str">
        <f t="shared" si="34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1"/>
        <v/>
      </c>
      <c r="E306" s="154"/>
      <c r="F306" s="149" t="str">
        <f t="shared" si="30"/>
        <v/>
      </c>
      <c r="G306" s="201"/>
      <c r="H306" s="149" t="str">
        <f t="shared" si="32"/>
        <v/>
      </c>
      <c r="I306" s="198">
        <v>0</v>
      </c>
      <c r="J306" s="198">
        <v>0</v>
      </c>
      <c r="K306" s="198">
        <v>0</v>
      </c>
      <c r="M306" s="144" t="str">
        <f t="shared" si="33"/>
        <v/>
      </c>
      <c r="N306" s="144" t="str">
        <f t="shared" si="34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1"/>
        <v/>
      </c>
      <c r="E307" s="154"/>
      <c r="F307" s="149" t="str">
        <f t="shared" si="30"/>
        <v/>
      </c>
      <c r="G307" s="201"/>
      <c r="H307" s="149" t="str">
        <f t="shared" si="32"/>
        <v/>
      </c>
      <c r="I307" s="198">
        <v>0</v>
      </c>
      <c r="J307" s="198">
        <v>0</v>
      </c>
      <c r="K307" s="198">
        <v>0</v>
      </c>
      <c r="M307" s="144" t="str">
        <f t="shared" si="33"/>
        <v/>
      </c>
      <c r="N307" s="144" t="str">
        <f t="shared" si="34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1"/>
        <v/>
      </c>
      <c r="E308" s="154"/>
      <c r="F308" s="149" t="str">
        <f t="shared" si="30"/>
        <v/>
      </c>
      <c r="G308" s="201"/>
      <c r="H308" s="149" t="str">
        <f t="shared" si="32"/>
        <v/>
      </c>
      <c r="I308" s="198">
        <v>0</v>
      </c>
      <c r="J308" s="198">
        <v>0</v>
      </c>
      <c r="K308" s="198">
        <v>0</v>
      </c>
      <c r="M308" s="144" t="str">
        <f t="shared" si="33"/>
        <v/>
      </c>
      <c r="N308" s="144" t="str">
        <f t="shared" si="34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1"/>
        <v/>
      </c>
      <c r="E309" s="154"/>
      <c r="F309" s="149" t="str">
        <f t="shared" si="30"/>
        <v/>
      </c>
      <c r="G309" s="201"/>
      <c r="H309" s="149" t="str">
        <f t="shared" si="32"/>
        <v/>
      </c>
      <c r="I309" s="198">
        <v>0</v>
      </c>
      <c r="J309" s="198">
        <v>0</v>
      </c>
      <c r="K309" s="198">
        <v>0</v>
      </c>
      <c r="M309" s="144" t="str">
        <f t="shared" si="33"/>
        <v/>
      </c>
      <c r="N309" s="144" t="str">
        <f t="shared" si="34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1"/>
        <v/>
      </c>
      <c r="E310" s="154"/>
      <c r="F310" s="149" t="str">
        <f t="shared" si="30"/>
        <v/>
      </c>
      <c r="G310" s="201"/>
      <c r="H310" s="149" t="str">
        <f t="shared" si="32"/>
        <v/>
      </c>
      <c r="I310" s="198">
        <v>0</v>
      </c>
      <c r="J310" s="198">
        <v>0</v>
      </c>
      <c r="K310" s="198">
        <v>0</v>
      </c>
      <c r="M310" s="144" t="str">
        <f t="shared" si="33"/>
        <v/>
      </c>
      <c r="N310" s="144" t="str">
        <f t="shared" si="34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1"/>
        <v/>
      </c>
      <c r="E311" s="154"/>
      <c r="F311" s="149" t="str">
        <f t="shared" si="30"/>
        <v/>
      </c>
      <c r="G311" s="201"/>
      <c r="H311" s="149" t="str">
        <f t="shared" si="32"/>
        <v/>
      </c>
      <c r="I311" s="198">
        <v>0</v>
      </c>
      <c r="J311" s="198">
        <v>0</v>
      </c>
      <c r="K311" s="198">
        <v>0</v>
      </c>
      <c r="M311" s="144" t="str">
        <f t="shared" si="33"/>
        <v/>
      </c>
      <c r="N311" s="144" t="str">
        <f t="shared" si="34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1"/>
        <v/>
      </c>
      <c r="E312" s="154"/>
      <c r="F312" s="149" t="str">
        <f t="shared" si="30"/>
        <v/>
      </c>
      <c r="G312" s="201"/>
      <c r="H312" s="149" t="str">
        <f t="shared" si="32"/>
        <v/>
      </c>
      <c r="I312" s="198">
        <v>0</v>
      </c>
      <c r="J312" s="198">
        <v>0</v>
      </c>
      <c r="K312" s="198">
        <v>0</v>
      </c>
      <c r="M312" s="144" t="str">
        <f t="shared" si="33"/>
        <v/>
      </c>
      <c r="N312" s="144" t="str">
        <f t="shared" si="34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1"/>
        <v/>
      </c>
      <c r="E313" s="154"/>
      <c r="F313" s="149" t="str">
        <f t="shared" si="30"/>
        <v/>
      </c>
      <c r="G313" s="201"/>
      <c r="H313" s="149" t="str">
        <f t="shared" si="32"/>
        <v/>
      </c>
      <c r="I313" s="198">
        <v>0</v>
      </c>
      <c r="J313" s="198">
        <v>0</v>
      </c>
      <c r="K313" s="198">
        <v>0</v>
      </c>
      <c r="M313" s="144" t="str">
        <f t="shared" si="33"/>
        <v/>
      </c>
      <c r="N313" s="144" t="str">
        <f t="shared" si="34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1"/>
        <v/>
      </c>
      <c r="E314" s="154"/>
      <c r="F314" s="149" t="str">
        <f t="shared" si="30"/>
        <v/>
      </c>
      <c r="G314" s="201"/>
      <c r="H314" s="149" t="str">
        <f t="shared" si="32"/>
        <v/>
      </c>
      <c r="I314" s="198">
        <v>0</v>
      </c>
      <c r="J314" s="198">
        <v>0</v>
      </c>
      <c r="K314" s="198">
        <v>0</v>
      </c>
      <c r="M314" s="144" t="str">
        <f t="shared" si="33"/>
        <v/>
      </c>
      <c r="N314" s="144" t="str">
        <f t="shared" si="34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1"/>
        <v/>
      </c>
      <c r="E315" s="154"/>
      <c r="F315" s="149" t="str">
        <f t="shared" si="30"/>
        <v/>
      </c>
      <c r="G315" s="201"/>
      <c r="H315" s="149" t="str">
        <f t="shared" si="32"/>
        <v/>
      </c>
      <c r="I315" s="198">
        <v>0</v>
      </c>
      <c r="J315" s="198">
        <v>0</v>
      </c>
      <c r="K315" s="198">
        <v>0</v>
      </c>
      <c r="M315" s="144" t="str">
        <f t="shared" si="33"/>
        <v/>
      </c>
      <c r="N315" s="144" t="str">
        <f t="shared" si="34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1"/>
        <v/>
      </c>
      <c r="E316" s="154"/>
      <c r="F316" s="149" t="str">
        <f t="shared" si="30"/>
        <v/>
      </c>
      <c r="G316" s="201"/>
      <c r="H316" s="149" t="str">
        <f t="shared" si="32"/>
        <v/>
      </c>
      <c r="I316" s="198">
        <v>0</v>
      </c>
      <c r="J316" s="198">
        <v>0</v>
      </c>
      <c r="K316" s="198">
        <v>0</v>
      </c>
      <c r="M316" s="144" t="str">
        <f t="shared" si="33"/>
        <v/>
      </c>
      <c r="N316" s="144" t="str">
        <f t="shared" si="34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1"/>
        <v/>
      </c>
      <c r="E317" s="154"/>
      <c r="F317" s="149" t="str">
        <f t="shared" si="30"/>
        <v/>
      </c>
      <c r="G317" s="201"/>
      <c r="H317" s="149" t="str">
        <f t="shared" si="32"/>
        <v/>
      </c>
      <c r="I317" s="198">
        <v>0</v>
      </c>
      <c r="J317" s="198">
        <v>0</v>
      </c>
      <c r="K317" s="198">
        <v>0</v>
      </c>
      <c r="M317" s="144" t="str">
        <f t="shared" si="33"/>
        <v/>
      </c>
      <c r="N317" s="144" t="str">
        <f t="shared" si="34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1"/>
        <v/>
      </c>
      <c r="E318" s="154"/>
      <c r="F318" s="149" t="str">
        <f t="shared" si="30"/>
        <v/>
      </c>
      <c r="G318" s="201"/>
      <c r="H318" s="149" t="str">
        <f t="shared" si="32"/>
        <v/>
      </c>
      <c r="I318" s="198">
        <v>0</v>
      </c>
      <c r="J318" s="198">
        <v>0</v>
      </c>
      <c r="K318" s="198">
        <v>0</v>
      </c>
      <c r="M318" s="144" t="str">
        <f t="shared" si="33"/>
        <v/>
      </c>
      <c r="N318" s="144" t="str">
        <f t="shared" si="34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1"/>
        <v/>
      </c>
      <c r="E319" s="154"/>
      <c r="F319" s="149" t="str">
        <f t="shared" si="30"/>
        <v/>
      </c>
      <c r="G319" s="201"/>
      <c r="H319" s="149" t="str">
        <f t="shared" si="32"/>
        <v/>
      </c>
      <c r="I319" s="198">
        <v>0</v>
      </c>
      <c r="J319" s="198">
        <v>0</v>
      </c>
      <c r="K319" s="198">
        <v>0</v>
      </c>
      <c r="M319" s="144" t="str">
        <f t="shared" si="33"/>
        <v/>
      </c>
      <c r="N319" s="144" t="str">
        <f t="shared" si="34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1"/>
        <v/>
      </c>
      <c r="E320" s="154"/>
      <c r="F320" s="149" t="str">
        <f t="shared" si="30"/>
        <v/>
      </c>
      <c r="G320" s="201"/>
      <c r="H320" s="149" t="str">
        <f t="shared" si="32"/>
        <v/>
      </c>
      <c r="I320" s="198">
        <v>0</v>
      </c>
      <c r="J320" s="198">
        <v>0</v>
      </c>
      <c r="K320" s="198">
        <v>0</v>
      </c>
      <c r="M320" s="144" t="str">
        <f t="shared" si="33"/>
        <v/>
      </c>
      <c r="N320" s="144" t="str">
        <f t="shared" si="34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1"/>
        <v/>
      </c>
      <c r="E321" s="154"/>
      <c r="F321" s="149" t="str">
        <f t="shared" si="30"/>
        <v/>
      </c>
      <c r="G321" s="201"/>
      <c r="H321" s="149" t="str">
        <f t="shared" si="32"/>
        <v/>
      </c>
      <c r="I321" s="198">
        <v>0</v>
      </c>
      <c r="J321" s="198">
        <v>0</v>
      </c>
      <c r="K321" s="198">
        <v>0</v>
      </c>
      <c r="M321" s="144" t="str">
        <f t="shared" si="33"/>
        <v/>
      </c>
      <c r="N321" s="144" t="str">
        <f t="shared" si="34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1"/>
        <v/>
      </c>
      <c r="E322" s="154"/>
      <c r="F322" s="149" t="str">
        <f t="shared" si="30"/>
        <v/>
      </c>
      <c r="G322" s="201"/>
      <c r="H322" s="149" t="str">
        <f t="shared" si="32"/>
        <v/>
      </c>
      <c r="I322" s="198">
        <v>0</v>
      </c>
      <c r="J322" s="198">
        <v>0</v>
      </c>
      <c r="K322" s="198">
        <v>0</v>
      </c>
      <c r="M322" s="144" t="str">
        <f t="shared" si="33"/>
        <v/>
      </c>
      <c r="N322" s="144" t="str">
        <f t="shared" si="34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1"/>
        <v/>
      </c>
      <c r="E323" s="154"/>
      <c r="F323" s="149" t="str">
        <f t="shared" ref="F323:F386" si="35">IFERROR(VLOOKUP(E323,$R$5:$T$129,2,FALSE),"")</f>
        <v/>
      </c>
      <c r="G323" s="201"/>
      <c r="H323" s="149" t="str">
        <f t="shared" si="32"/>
        <v/>
      </c>
      <c r="I323" s="198">
        <v>0</v>
      </c>
      <c r="J323" s="198">
        <v>0</v>
      </c>
      <c r="K323" s="198">
        <v>0</v>
      </c>
      <c r="M323" s="144" t="str">
        <f t="shared" si="33"/>
        <v/>
      </c>
      <c r="N323" s="144" t="str">
        <f t="shared" si="34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36">IFERROR(VLOOKUP(C324,$O$6:$P$16,2,FALSE),"")</f>
        <v/>
      </c>
      <c r="E324" s="154"/>
      <c r="F324" s="149" t="str">
        <f t="shared" si="35"/>
        <v/>
      </c>
      <c r="G324" s="201"/>
      <c r="H324" s="149" t="str">
        <f t="shared" ref="H324:H387" si="37">IFERROR(VLOOKUP(G324,$X$6:$Y$50,2,FALSE),"")</f>
        <v/>
      </c>
      <c r="I324" s="198">
        <v>0</v>
      </c>
      <c r="J324" s="198">
        <v>0</v>
      </c>
      <c r="K324" s="198">
        <v>0</v>
      </c>
      <c r="M324" s="144" t="str">
        <f t="shared" ref="M324:M387" si="38">LEFT(E324,3)</f>
        <v/>
      </c>
      <c r="N324" s="144" t="str">
        <f t="shared" ref="N324:N387" si="39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36"/>
        <v/>
      </c>
      <c r="E325" s="154"/>
      <c r="F325" s="149" t="str">
        <f t="shared" si="35"/>
        <v/>
      </c>
      <c r="G325" s="201"/>
      <c r="H325" s="149" t="str">
        <f t="shared" si="37"/>
        <v/>
      </c>
      <c r="I325" s="198">
        <v>0</v>
      </c>
      <c r="J325" s="198">
        <v>0</v>
      </c>
      <c r="K325" s="198">
        <v>0</v>
      </c>
      <c r="M325" s="144" t="str">
        <f t="shared" si="38"/>
        <v/>
      </c>
      <c r="N325" s="144" t="str">
        <f t="shared" si="39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36"/>
        <v/>
      </c>
      <c r="E326" s="154"/>
      <c r="F326" s="149" t="str">
        <f t="shared" si="35"/>
        <v/>
      </c>
      <c r="G326" s="201"/>
      <c r="H326" s="149" t="str">
        <f t="shared" si="37"/>
        <v/>
      </c>
      <c r="I326" s="198">
        <v>0</v>
      </c>
      <c r="J326" s="198">
        <v>0</v>
      </c>
      <c r="K326" s="198">
        <v>0</v>
      </c>
      <c r="M326" s="144" t="str">
        <f t="shared" si="38"/>
        <v/>
      </c>
      <c r="N326" s="144" t="str">
        <f t="shared" si="39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36"/>
        <v/>
      </c>
      <c r="E327" s="154"/>
      <c r="F327" s="149" t="str">
        <f t="shared" si="35"/>
        <v/>
      </c>
      <c r="G327" s="201"/>
      <c r="H327" s="149" t="str">
        <f t="shared" si="37"/>
        <v/>
      </c>
      <c r="I327" s="198">
        <v>0</v>
      </c>
      <c r="J327" s="198">
        <v>0</v>
      </c>
      <c r="K327" s="198">
        <v>0</v>
      </c>
      <c r="M327" s="144" t="str">
        <f t="shared" si="38"/>
        <v/>
      </c>
      <c r="N327" s="144" t="str">
        <f t="shared" si="39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36"/>
        <v/>
      </c>
      <c r="E328" s="154"/>
      <c r="F328" s="149" t="str">
        <f t="shared" si="35"/>
        <v/>
      </c>
      <c r="G328" s="201"/>
      <c r="H328" s="149" t="str">
        <f t="shared" si="37"/>
        <v/>
      </c>
      <c r="I328" s="198">
        <v>0</v>
      </c>
      <c r="J328" s="198">
        <v>0</v>
      </c>
      <c r="K328" s="198">
        <v>0</v>
      </c>
      <c r="M328" s="144" t="str">
        <f t="shared" si="38"/>
        <v/>
      </c>
      <c r="N328" s="144" t="str">
        <f t="shared" si="39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36"/>
        <v/>
      </c>
      <c r="E329" s="154"/>
      <c r="F329" s="149" t="str">
        <f t="shared" si="35"/>
        <v/>
      </c>
      <c r="G329" s="201"/>
      <c r="H329" s="149" t="str">
        <f t="shared" si="37"/>
        <v/>
      </c>
      <c r="I329" s="198">
        <v>0</v>
      </c>
      <c r="J329" s="198">
        <v>0</v>
      </c>
      <c r="K329" s="198">
        <v>0</v>
      </c>
      <c r="M329" s="144" t="str">
        <f t="shared" si="38"/>
        <v/>
      </c>
      <c r="N329" s="144" t="str">
        <f t="shared" si="39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36"/>
        <v/>
      </c>
      <c r="E330" s="154"/>
      <c r="F330" s="149" t="str">
        <f t="shared" si="35"/>
        <v/>
      </c>
      <c r="G330" s="201"/>
      <c r="H330" s="149" t="str">
        <f t="shared" si="37"/>
        <v/>
      </c>
      <c r="I330" s="198">
        <v>0</v>
      </c>
      <c r="J330" s="198">
        <v>0</v>
      </c>
      <c r="K330" s="198">
        <v>0</v>
      </c>
      <c r="M330" s="144" t="str">
        <f t="shared" si="38"/>
        <v/>
      </c>
      <c r="N330" s="144" t="str">
        <f t="shared" si="39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36"/>
        <v/>
      </c>
      <c r="E331" s="154"/>
      <c r="F331" s="149" t="str">
        <f t="shared" si="35"/>
        <v/>
      </c>
      <c r="G331" s="201"/>
      <c r="H331" s="149" t="str">
        <f t="shared" si="37"/>
        <v/>
      </c>
      <c r="I331" s="198">
        <v>0</v>
      </c>
      <c r="J331" s="198">
        <v>0</v>
      </c>
      <c r="K331" s="198">
        <v>0</v>
      </c>
      <c r="M331" s="144" t="str">
        <f t="shared" si="38"/>
        <v/>
      </c>
      <c r="N331" s="144" t="str">
        <f t="shared" si="39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36"/>
        <v/>
      </c>
      <c r="E332" s="154"/>
      <c r="F332" s="149" t="str">
        <f t="shared" si="35"/>
        <v/>
      </c>
      <c r="G332" s="201"/>
      <c r="H332" s="149" t="str">
        <f t="shared" si="37"/>
        <v/>
      </c>
      <c r="I332" s="198">
        <v>0</v>
      </c>
      <c r="J332" s="198">
        <v>0</v>
      </c>
      <c r="K332" s="198">
        <v>0</v>
      </c>
      <c r="M332" s="144" t="str">
        <f t="shared" si="38"/>
        <v/>
      </c>
      <c r="N332" s="144" t="str">
        <f t="shared" si="39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36"/>
        <v/>
      </c>
      <c r="E333" s="154"/>
      <c r="F333" s="149" t="str">
        <f t="shared" si="35"/>
        <v/>
      </c>
      <c r="G333" s="201"/>
      <c r="H333" s="149" t="str">
        <f t="shared" si="37"/>
        <v/>
      </c>
      <c r="I333" s="198">
        <v>0</v>
      </c>
      <c r="J333" s="198">
        <v>0</v>
      </c>
      <c r="K333" s="198">
        <v>0</v>
      </c>
      <c r="M333" s="144" t="str">
        <f t="shared" si="38"/>
        <v/>
      </c>
      <c r="N333" s="144" t="str">
        <f t="shared" si="39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36"/>
        <v/>
      </c>
      <c r="E334" s="154"/>
      <c r="F334" s="149" t="str">
        <f t="shared" si="35"/>
        <v/>
      </c>
      <c r="G334" s="201"/>
      <c r="H334" s="149" t="str">
        <f t="shared" si="37"/>
        <v/>
      </c>
      <c r="I334" s="198">
        <v>0</v>
      </c>
      <c r="J334" s="198">
        <v>0</v>
      </c>
      <c r="K334" s="198">
        <v>0</v>
      </c>
      <c r="M334" s="144" t="str">
        <f t="shared" si="38"/>
        <v/>
      </c>
      <c r="N334" s="144" t="str">
        <f t="shared" si="39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36"/>
        <v/>
      </c>
      <c r="E335" s="154"/>
      <c r="F335" s="149" t="str">
        <f t="shared" si="35"/>
        <v/>
      </c>
      <c r="G335" s="201"/>
      <c r="H335" s="149" t="str">
        <f t="shared" si="37"/>
        <v/>
      </c>
      <c r="I335" s="198">
        <v>0</v>
      </c>
      <c r="J335" s="198">
        <v>0</v>
      </c>
      <c r="K335" s="198">
        <v>0</v>
      </c>
      <c r="M335" s="144" t="str">
        <f t="shared" si="38"/>
        <v/>
      </c>
      <c r="N335" s="144" t="str">
        <f t="shared" si="39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36"/>
        <v/>
      </c>
      <c r="E336" s="154"/>
      <c r="F336" s="149" t="str">
        <f t="shared" si="35"/>
        <v/>
      </c>
      <c r="G336" s="201"/>
      <c r="H336" s="149" t="str">
        <f t="shared" si="37"/>
        <v/>
      </c>
      <c r="I336" s="198">
        <v>0</v>
      </c>
      <c r="J336" s="198">
        <v>0</v>
      </c>
      <c r="K336" s="198">
        <v>0</v>
      </c>
      <c r="M336" s="144" t="str">
        <f t="shared" si="38"/>
        <v/>
      </c>
      <c r="N336" s="144" t="str">
        <f t="shared" si="39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36"/>
        <v/>
      </c>
      <c r="E337" s="154"/>
      <c r="F337" s="149" t="str">
        <f t="shared" si="35"/>
        <v/>
      </c>
      <c r="G337" s="201"/>
      <c r="H337" s="149" t="str">
        <f t="shared" si="37"/>
        <v/>
      </c>
      <c r="I337" s="198">
        <v>0</v>
      </c>
      <c r="J337" s="198">
        <v>0</v>
      </c>
      <c r="K337" s="198">
        <v>0</v>
      </c>
      <c r="M337" s="144" t="str">
        <f t="shared" si="38"/>
        <v/>
      </c>
      <c r="N337" s="144" t="str">
        <f t="shared" si="39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36"/>
        <v/>
      </c>
      <c r="E338" s="154"/>
      <c r="F338" s="149" t="str">
        <f t="shared" si="35"/>
        <v/>
      </c>
      <c r="G338" s="201"/>
      <c r="H338" s="149" t="str">
        <f t="shared" si="37"/>
        <v/>
      </c>
      <c r="I338" s="198">
        <v>0</v>
      </c>
      <c r="J338" s="198">
        <v>0</v>
      </c>
      <c r="K338" s="198">
        <v>0</v>
      </c>
      <c r="M338" s="144" t="str">
        <f t="shared" si="38"/>
        <v/>
      </c>
      <c r="N338" s="144" t="str">
        <f t="shared" si="39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36"/>
        <v/>
      </c>
      <c r="E339" s="154"/>
      <c r="F339" s="149" t="str">
        <f t="shared" si="35"/>
        <v/>
      </c>
      <c r="G339" s="201"/>
      <c r="H339" s="149" t="str">
        <f t="shared" si="37"/>
        <v/>
      </c>
      <c r="I339" s="198">
        <v>0</v>
      </c>
      <c r="J339" s="198">
        <v>0</v>
      </c>
      <c r="K339" s="198">
        <v>0</v>
      </c>
      <c r="M339" s="144" t="str">
        <f t="shared" si="38"/>
        <v/>
      </c>
      <c r="N339" s="144" t="str">
        <f t="shared" si="39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36"/>
        <v/>
      </c>
      <c r="E340" s="154"/>
      <c r="F340" s="149" t="str">
        <f t="shared" si="35"/>
        <v/>
      </c>
      <c r="G340" s="201"/>
      <c r="H340" s="149" t="str">
        <f t="shared" si="37"/>
        <v/>
      </c>
      <c r="I340" s="198">
        <v>0</v>
      </c>
      <c r="J340" s="198">
        <v>0</v>
      </c>
      <c r="K340" s="198">
        <v>0</v>
      </c>
      <c r="M340" s="144" t="str">
        <f t="shared" si="38"/>
        <v/>
      </c>
      <c r="N340" s="144" t="str">
        <f t="shared" si="39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36"/>
        <v/>
      </c>
      <c r="E341" s="154"/>
      <c r="F341" s="149" t="str">
        <f t="shared" si="35"/>
        <v/>
      </c>
      <c r="G341" s="201"/>
      <c r="H341" s="149" t="str">
        <f t="shared" si="37"/>
        <v/>
      </c>
      <c r="I341" s="198">
        <v>0</v>
      </c>
      <c r="J341" s="198">
        <v>0</v>
      </c>
      <c r="K341" s="198">
        <v>0</v>
      </c>
      <c r="M341" s="144" t="str">
        <f t="shared" si="38"/>
        <v/>
      </c>
      <c r="N341" s="144" t="str">
        <f t="shared" si="39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36"/>
        <v/>
      </c>
      <c r="E342" s="154"/>
      <c r="F342" s="149" t="str">
        <f t="shared" si="35"/>
        <v/>
      </c>
      <c r="G342" s="201"/>
      <c r="H342" s="149" t="str">
        <f t="shared" si="37"/>
        <v/>
      </c>
      <c r="I342" s="198">
        <v>0</v>
      </c>
      <c r="J342" s="198">
        <v>0</v>
      </c>
      <c r="K342" s="198">
        <v>0</v>
      </c>
      <c r="M342" s="144" t="str">
        <f t="shared" si="38"/>
        <v/>
      </c>
      <c r="N342" s="144" t="str">
        <f t="shared" si="39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36"/>
        <v/>
      </c>
      <c r="E343" s="154"/>
      <c r="F343" s="149" t="str">
        <f t="shared" si="35"/>
        <v/>
      </c>
      <c r="G343" s="201"/>
      <c r="H343" s="149" t="str">
        <f t="shared" si="37"/>
        <v/>
      </c>
      <c r="I343" s="198">
        <v>0</v>
      </c>
      <c r="J343" s="198">
        <v>0</v>
      </c>
      <c r="K343" s="198">
        <v>0</v>
      </c>
      <c r="M343" s="144" t="str">
        <f t="shared" si="38"/>
        <v/>
      </c>
      <c r="N343" s="144" t="str">
        <f t="shared" si="39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36"/>
        <v/>
      </c>
      <c r="E344" s="154"/>
      <c r="F344" s="149" t="str">
        <f t="shared" si="35"/>
        <v/>
      </c>
      <c r="G344" s="201"/>
      <c r="H344" s="149" t="str">
        <f t="shared" si="37"/>
        <v/>
      </c>
      <c r="I344" s="198">
        <v>0</v>
      </c>
      <c r="J344" s="198">
        <v>0</v>
      </c>
      <c r="K344" s="198">
        <v>0</v>
      </c>
      <c r="M344" s="144" t="str">
        <f t="shared" si="38"/>
        <v/>
      </c>
      <c r="N344" s="144" t="str">
        <f t="shared" si="39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36"/>
        <v/>
      </c>
      <c r="E345" s="154"/>
      <c r="F345" s="149" t="str">
        <f t="shared" si="35"/>
        <v/>
      </c>
      <c r="G345" s="201"/>
      <c r="H345" s="149" t="str">
        <f t="shared" si="37"/>
        <v/>
      </c>
      <c r="I345" s="198">
        <v>0</v>
      </c>
      <c r="J345" s="198">
        <v>0</v>
      </c>
      <c r="K345" s="198">
        <v>0</v>
      </c>
      <c r="M345" s="144" t="str">
        <f t="shared" si="38"/>
        <v/>
      </c>
      <c r="N345" s="144" t="str">
        <f t="shared" si="39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36"/>
        <v/>
      </c>
      <c r="E346" s="154"/>
      <c r="F346" s="149" t="str">
        <f t="shared" si="35"/>
        <v/>
      </c>
      <c r="G346" s="201"/>
      <c r="H346" s="149" t="str">
        <f t="shared" si="37"/>
        <v/>
      </c>
      <c r="I346" s="198">
        <v>0</v>
      </c>
      <c r="J346" s="198">
        <v>0</v>
      </c>
      <c r="K346" s="198">
        <v>0</v>
      </c>
      <c r="M346" s="144" t="str">
        <f t="shared" si="38"/>
        <v/>
      </c>
      <c r="N346" s="144" t="str">
        <f t="shared" si="39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36"/>
        <v/>
      </c>
      <c r="E347" s="154"/>
      <c r="F347" s="149" t="str">
        <f t="shared" si="35"/>
        <v/>
      </c>
      <c r="G347" s="201"/>
      <c r="H347" s="149" t="str">
        <f t="shared" si="37"/>
        <v/>
      </c>
      <c r="I347" s="198">
        <v>0</v>
      </c>
      <c r="J347" s="198">
        <v>0</v>
      </c>
      <c r="K347" s="198">
        <v>0</v>
      </c>
      <c r="M347" s="144" t="str">
        <f t="shared" si="38"/>
        <v/>
      </c>
      <c r="N347" s="144" t="str">
        <f t="shared" si="39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36"/>
        <v/>
      </c>
      <c r="E348" s="154"/>
      <c r="F348" s="149" t="str">
        <f t="shared" si="35"/>
        <v/>
      </c>
      <c r="G348" s="201"/>
      <c r="H348" s="149" t="str">
        <f t="shared" si="37"/>
        <v/>
      </c>
      <c r="I348" s="198">
        <v>0</v>
      </c>
      <c r="J348" s="198">
        <v>0</v>
      </c>
      <c r="K348" s="198">
        <v>0</v>
      </c>
      <c r="M348" s="144" t="str">
        <f t="shared" si="38"/>
        <v/>
      </c>
      <c r="N348" s="144" t="str">
        <f t="shared" si="39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36"/>
        <v/>
      </c>
      <c r="E349" s="154"/>
      <c r="F349" s="149" t="str">
        <f t="shared" si="35"/>
        <v/>
      </c>
      <c r="G349" s="201"/>
      <c r="H349" s="149" t="str">
        <f t="shared" si="37"/>
        <v/>
      </c>
      <c r="I349" s="198">
        <v>0</v>
      </c>
      <c r="J349" s="198">
        <v>0</v>
      </c>
      <c r="K349" s="198">
        <v>0</v>
      </c>
      <c r="M349" s="144" t="str">
        <f t="shared" si="38"/>
        <v/>
      </c>
      <c r="N349" s="144" t="str">
        <f t="shared" si="39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36"/>
        <v/>
      </c>
      <c r="E350" s="154"/>
      <c r="F350" s="149" t="str">
        <f t="shared" si="35"/>
        <v/>
      </c>
      <c r="G350" s="201"/>
      <c r="H350" s="149" t="str">
        <f t="shared" si="37"/>
        <v/>
      </c>
      <c r="I350" s="198">
        <v>0</v>
      </c>
      <c r="J350" s="198">
        <v>0</v>
      </c>
      <c r="K350" s="198">
        <v>0</v>
      </c>
      <c r="M350" s="144" t="str">
        <f t="shared" si="38"/>
        <v/>
      </c>
      <c r="N350" s="144" t="str">
        <f t="shared" si="39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36"/>
        <v/>
      </c>
      <c r="E351" s="154"/>
      <c r="F351" s="149" t="str">
        <f t="shared" si="35"/>
        <v/>
      </c>
      <c r="G351" s="201"/>
      <c r="H351" s="149" t="str">
        <f t="shared" si="37"/>
        <v/>
      </c>
      <c r="I351" s="198">
        <v>0</v>
      </c>
      <c r="J351" s="198">
        <v>0</v>
      </c>
      <c r="K351" s="198">
        <v>0</v>
      </c>
      <c r="M351" s="144" t="str">
        <f t="shared" si="38"/>
        <v/>
      </c>
      <c r="N351" s="144" t="str">
        <f t="shared" si="39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36"/>
        <v/>
      </c>
      <c r="E352" s="154"/>
      <c r="F352" s="149" t="str">
        <f t="shared" si="35"/>
        <v/>
      </c>
      <c r="G352" s="201"/>
      <c r="H352" s="149" t="str">
        <f t="shared" si="37"/>
        <v/>
      </c>
      <c r="I352" s="198">
        <v>0</v>
      </c>
      <c r="J352" s="198">
        <v>0</v>
      </c>
      <c r="K352" s="198">
        <v>0</v>
      </c>
      <c r="M352" s="144" t="str">
        <f t="shared" si="38"/>
        <v/>
      </c>
      <c r="N352" s="144" t="str">
        <f t="shared" si="39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36"/>
        <v/>
      </c>
      <c r="E353" s="154"/>
      <c r="F353" s="149" t="str">
        <f t="shared" si="35"/>
        <v/>
      </c>
      <c r="G353" s="201"/>
      <c r="H353" s="149" t="str">
        <f t="shared" si="37"/>
        <v/>
      </c>
      <c r="I353" s="198">
        <v>0</v>
      </c>
      <c r="J353" s="198">
        <v>0</v>
      </c>
      <c r="K353" s="198">
        <v>0</v>
      </c>
      <c r="M353" s="144" t="str">
        <f t="shared" si="38"/>
        <v/>
      </c>
      <c r="N353" s="144" t="str">
        <f t="shared" si="39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36"/>
        <v/>
      </c>
      <c r="E354" s="154"/>
      <c r="F354" s="149" t="str">
        <f t="shared" si="35"/>
        <v/>
      </c>
      <c r="G354" s="201"/>
      <c r="H354" s="149" t="str">
        <f t="shared" si="37"/>
        <v/>
      </c>
      <c r="I354" s="198">
        <v>0</v>
      </c>
      <c r="J354" s="198">
        <v>0</v>
      </c>
      <c r="K354" s="198">
        <v>0</v>
      </c>
      <c r="M354" s="144" t="str">
        <f t="shared" si="38"/>
        <v/>
      </c>
      <c r="N354" s="144" t="str">
        <f t="shared" si="39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36"/>
        <v/>
      </c>
      <c r="E355" s="154"/>
      <c r="F355" s="149" t="str">
        <f t="shared" si="35"/>
        <v/>
      </c>
      <c r="G355" s="201"/>
      <c r="H355" s="149" t="str">
        <f t="shared" si="37"/>
        <v/>
      </c>
      <c r="I355" s="198">
        <v>0</v>
      </c>
      <c r="J355" s="198">
        <v>0</v>
      </c>
      <c r="K355" s="198">
        <v>0</v>
      </c>
      <c r="M355" s="144" t="str">
        <f t="shared" si="38"/>
        <v/>
      </c>
      <c r="N355" s="144" t="str">
        <f t="shared" si="39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36"/>
        <v/>
      </c>
      <c r="E356" s="154"/>
      <c r="F356" s="149" t="str">
        <f t="shared" si="35"/>
        <v/>
      </c>
      <c r="G356" s="201"/>
      <c r="H356" s="149" t="str">
        <f t="shared" si="37"/>
        <v/>
      </c>
      <c r="I356" s="198">
        <v>0</v>
      </c>
      <c r="J356" s="198">
        <v>0</v>
      </c>
      <c r="K356" s="198">
        <v>0</v>
      </c>
      <c r="M356" s="144" t="str">
        <f t="shared" si="38"/>
        <v/>
      </c>
      <c r="N356" s="144" t="str">
        <f t="shared" si="39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36"/>
        <v/>
      </c>
      <c r="E357" s="154"/>
      <c r="F357" s="149" t="str">
        <f t="shared" si="35"/>
        <v/>
      </c>
      <c r="G357" s="201"/>
      <c r="H357" s="149" t="str">
        <f t="shared" si="37"/>
        <v/>
      </c>
      <c r="I357" s="198">
        <v>0</v>
      </c>
      <c r="J357" s="198">
        <v>0</v>
      </c>
      <c r="K357" s="198">
        <v>0</v>
      </c>
      <c r="M357" s="144" t="str">
        <f t="shared" si="38"/>
        <v/>
      </c>
      <c r="N357" s="144" t="str">
        <f t="shared" si="39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36"/>
        <v/>
      </c>
      <c r="E358" s="154"/>
      <c r="F358" s="149" t="str">
        <f t="shared" si="35"/>
        <v/>
      </c>
      <c r="G358" s="201"/>
      <c r="H358" s="149" t="str">
        <f t="shared" si="37"/>
        <v/>
      </c>
      <c r="I358" s="198">
        <v>0</v>
      </c>
      <c r="J358" s="198">
        <v>0</v>
      </c>
      <c r="K358" s="198">
        <v>0</v>
      </c>
      <c r="M358" s="144" t="str">
        <f t="shared" si="38"/>
        <v/>
      </c>
      <c r="N358" s="144" t="str">
        <f t="shared" si="39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36"/>
        <v/>
      </c>
      <c r="E359" s="154"/>
      <c r="F359" s="149" t="str">
        <f t="shared" si="35"/>
        <v/>
      </c>
      <c r="G359" s="201"/>
      <c r="H359" s="149" t="str">
        <f t="shared" si="37"/>
        <v/>
      </c>
      <c r="I359" s="198">
        <v>0</v>
      </c>
      <c r="J359" s="198">
        <v>0</v>
      </c>
      <c r="K359" s="198">
        <v>0</v>
      </c>
      <c r="M359" s="144" t="str">
        <f t="shared" si="38"/>
        <v/>
      </c>
      <c r="N359" s="144" t="str">
        <f t="shared" si="39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36"/>
        <v/>
      </c>
      <c r="E360" s="154"/>
      <c r="F360" s="149" t="str">
        <f t="shared" si="35"/>
        <v/>
      </c>
      <c r="G360" s="201"/>
      <c r="H360" s="149" t="str">
        <f t="shared" si="37"/>
        <v/>
      </c>
      <c r="I360" s="198">
        <v>0</v>
      </c>
      <c r="J360" s="198">
        <v>0</v>
      </c>
      <c r="K360" s="198">
        <v>0</v>
      </c>
      <c r="M360" s="144" t="str">
        <f t="shared" si="38"/>
        <v/>
      </c>
      <c r="N360" s="144" t="str">
        <f t="shared" si="39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36"/>
        <v/>
      </c>
      <c r="E361" s="154"/>
      <c r="F361" s="149" t="str">
        <f t="shared" si="35"/>
        <v/>
      </c>
      <c r="G361" s="201"/>
      <c r="H361" s="149" t="str">
        <f t="shared" si="37"/>
        <v/>
      </c>
      <c r="I361" s="198">
        <v>0</v>
      </c>
      <c r="J361" s="198">
        <v>0</v>
      </c>
      <c r="K361" s="198">
        <v>0</v>
      </c>
      <c r="M361" s="144" t="str">
        <f t="shared" si="38"/>
        <v/>
      </c>
      <c r="N361" s="144" t="str">
        <f t="shared" si="39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36"/>
        <v/>
      </c>
      <c r="E362" s="154"/>
      <c r="F362" s="149" t="str">
        <f t="shared" si="35"/>
        <v/>
      </c>
      <c r="G362" s="201"/>
      <c r="H362" s="149" t="str">
        <f t="shared" si="37"/>
        <v/>
      </c>
      <c r="I362" s="198">
        <v>0</v>
      </c>
      <c r="J362" s="198">
        <v>0</v>
      </c>
      <c r="K362" s="198">
        <v>0</v>
      </c>
      <c r="M362" s="144" t="str">
        <f t="shared" si="38"/>
        <v/>
      </c>
      <c r="N362" s="144" t="str">
        <f t="shared" si="39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36"/>
        <v/>
      </c>
      <c r="E363" s="154"/>
      <c r="F363" s="149" t="str">
        <f t="shared" si="35"/>
        <v/>
      </c>
      <c r="G363" s="201"/>
      <c r="H363" s="149" t="str">
        <f t="shared" si="37"/>
        <v/>
      </c>
      <c r="I363" s="198">
        <v>0</v>
      </c>
      <c r="J363" s="198">
        <v>0</v>
      </c>
      <c r="K363" s="198">
        <v>0</v>
      </c>
      <c r="M363" s="144" t="str">
        <f t="shared" si="38"/>
        <v/>
      </c>
      <c r="N363" s="144" t="str">
        <f t="shared" si="39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36"/>
        <v/>
      </c>
      <c r="E364" s="154"/>
      <c r="F364" s="149" t="str">
        <f t="shared" si="35"/>
        <v/>
      </c>
      <c r="G364" s="201"/>
      <c r="H364" s="149" t="str">
        <f t="shared" si="37"/>
        <v/>
      </c>
      <c r="I364" s="198">
        <v>0</v>
      </c>
      <c r="J364" s="198">
        <v>0</v>
      </c>
      <c r="K364" s="198">
        <v>0</v>
      </c>
      <c r="M364" s="144" t="str">
        <f t="shared" si="38"/>
        <v/>
      </c>
      <c r="N364" s="144" t="str">
        <f t="shared" si="39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36"/>
        <v/>
      </c>
      <c r="E365" s="154"/>
      <c r="F365" s="149" t="str">
        <f t="shared" si="35"/>
        <v/>
      </c>
      <c r="G365" s="201"/>
      <c r="H365" s="149" t="str">
        <f t="shared" si="37"/>
        <v/>
      </c>
      <c r="I365" s="198">
        <v>0</v>
      </c>
      <c r="J365" s="198">
        <v>0</v>
      </c>
      <c r="K365" s="198">
        <v>0</v>
      </c>
      <c r="M365" s="144" t="str">
        <f t="shared" si="38"/>
        <v/>
      </c>
      <c r="N365" s="144" t="str">
        <f t="shared" si="39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36"/>
        <v/>
      </c>
      <c r="E366" s="154"/>
      <c r="F366" s="149" t="str">
        <f t="shared" si="35"/>
        <v/>
      </c>
      <c r="G366" s="201"/>
      <c r="H366" s="149" t="str">
        <f t="shared" si="37"/>
        <v/>
      </c>
      <c r="I366" s="198">
        <v>0</v>
      </c>
      <c r="J366" s="198">
        <v>0</v>
      </c>
      <c r="K366" s="198">
        <v>0</v>
      </c>
      <c r="M366" s="144" t="str">
        <f t="shared" si="38"/>
        <v/>
      </c>
      <c r="N366" s="144" t="str">
        <f t="shared" si="39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36"/>
        <v/>
      </c>
      <c r="E367" s="154"/>
      <c r="F367" s="149" t="str">
        <f t="shared" si="35"/>
        <v/>
      </c>
      <c r="G367" s="201"/>
      <c r="H367" s="149" t="str">
        <f t="shared" si="37"/>
        <v/>
      </c>
      <c r="I367" s="198">
        <v>0</v>
      </c>
      <c r="J367" s="198">
        <v>0</v>
      </c>
      <c r="K367" s="198">
        <v>0</v>
      </c>
      <c r="M367" s="144" t="str">
        <f t="shared" si="38"/>
        <v/>
      </c>
      <c r="N367" s="144" t="str">
        <f t="shared" si="39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36"/>
        <v/>
      </c>
      <c r="E368" s="154"/>
      <c r="F368" s="149" t="str">
        <f t="shared" si="35"/>
        <v/>
      </c>
      <c r="G368" s="201"/>
      <c r="H368" s="149" t="str">
        <f t="shared" si="37"/>
        <v/>
      </c>
      <c r="I368" s="198">
        <v>0</v>
      </c>
      <c r="J368" s="198">
        <v>0</v>
      </c>
      <c r="K368" s="198">
        <v>0</v>
      </c>
      <c r="M368" s="144" t="str">
        <f t="shared" si="38"/>
        <v/>
      </c>
      <c r="N368" s="144" t="str">
        <f t="shared" si="39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36"/>
        <v/>
      </c>
      <c r="E369" s="154"/>
      <c r="F369" s="149" t="str">
        <f t="shared" si="35"/>
        <v/>
      </c>
      <c r="G369" s="201"/>
      <c r="H369" s="149" t="str">
        <f t="shared" si="37"/>
        <v/>
      </c>
      <c r="I369" s="198">
        <v>0</v>
      </c>
      <c r="J369" s="198">
        <v>0</v>
      </c>
      <c r="K369" s="198">
        <v>0</v>
      </c>
      <c r="M369" s="144" t="str">
        <f t="shared" si="38"/>
        <v/>
      </c>
      <c r="N369" s="144" t="str">
        <f t="shared" si="39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36"/>
        <v/>
      </c>
      <c r="E370" s="154"/>
      <c r="F370" s="149" t="str">
        <f t="shared" si="35"/>
        <v/>
      </c>
      <c r="G370" s="201"/>
      <c r="H370" s="149" t="str">
        <f t="shared" si="37"/>
        <v/>
      </c>
      <c r="I370" s="198">
        <v>0</v>
      </c>
      <c r="J370" s="198">
        <v>0</v>
      </c>
      <c r="K370" s="198">
        <v>0</v>
      </c>
      <c r="M370" s="144" t="str">
        <f t="shared" si="38"/>
        <v/>
      </c>
      <c r="N370" s="144" t="str">
        <f t="shared" si="39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36"/>
        <v/>
      </c>
      <c r="E371" s="154"/>
      <c r="F371" s="149" t="str">
        <f t="shared" si="35"/>
        <v/>
      </c>
      <c r="G371" s="201"/>
      <c r="H371" s="149" t="str">
        <f t="shared" si="37"/>
        <v/>
      </c>
      <c r="I371" s="198">
        <v>0</v>
      </c>
      <c r="J371" s="198">
        <v>0</v>
      </c>
      <c r="K371" s="198">
        <v>0</v>
      </c>
      <c r="M371" s="144" t="str">
        <f t="shared" si="38"/>
        <v/>
      </c>
      <c r="N371" s="144" t="str">
        <f t="shared" si="39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36"/>
        <v/>
      </c>
      <c r="E372" s="154"/>
      <c r="F372" s="149" t="str">
        <f t="shared" si="35"/>
        <v/>
      </c>
      <c r="G372" s="201"/>
      <c r="H372" s="149" t="str">
        <f t="shared" si="37"/>
        <v/>
      </c>
      <c r="I372" s="198">
        <v>0</v>
      </c>
      <c r="J372" s="198">
        <v>0</v>
      </c>
      <c r="K372" s="198">
        <v>0</v>
      </c>
      <c r="M372" s="144" t="str">
        <f t="shared" si="38"/>
        <v/>
      </c>
      <c r="N372" s="144" t="str">
        <f t="shared" si="39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36"/>
        <v/>
      </c>
      <c r="E373" s="154"/>
      <c r="F373" s="149" t="str">
        <f t="shared" si="35"/>
        <v/>
      </c>
      <c r="G373" s="201"/>
      <c r="H373" s="149" t="str">
        <f t="shared" si="37"/>
        <v/>
      </c>
      <c r="I373" s="198">
        <v>0</v>
      </c>
      <c r="J373" s="198">
        <v>0</v>
      </c>
      <c r="K373" s="198">
        <v>0</v>
      </c>
      <c r="M373" s="144" t="str">
        <f t="shared" si="38"/>
        <v/>
      </c>
      <c r="N373" s="144" t="str">
        <f t="shared" si="39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36"/>
        <v/>
      </c>
      <c r="E374" s="154"/>
      <c r="F374" s="149" t="str">
        <f t="shared" si="35"/>
        <v/>
      </c>
      <c r="G374" s="201"/>
      <c r="H374" s="149" t="str">
        <f t="shared" si="37"/>
        <v/>
      </c>
      <c r="I374" s="198">
        <v>0</v>
      </c>
      <c r="J374" s="198">
        <v>0</v>
      </c>
      <c r="K374" s="198">
        <v>0</v>
      </c>
      <c r="M374" s="144" t="str">
        <f t="shared" si="38"/>
        <v/>
      </c>
      <c r="N374" s="144" t="str">
        <f t="shared" si="39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36"/>
        <v/>
      </c>
      <c r="E375" s="154"/>
      <c r="F375" s="149" t="str">
        <f t="shared" si="35"/>
        <v/>
      </c>
      <c r="G375" s="201"/>
      <c r="H375" s="149" t="str">
        <f t="shared" si="37"/>
        <v/>
      </c>
      <c r="I375" s="198">
        <v>0</v>
      </c>
      <c r="J375" s="198">
        <v>0</v>
      </c>
      <c r="K375" s="198">
        <v>0</v>
      </c>
      <c r="M375" s="144" t="str">
        <f t="shared" si="38"/>
        <v/>
      </c>
      <c r="N375" s="144" t="str">
        <f t="shared" si="39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36"/>
        <v/>
      </c>
      <c r="E376" s="154"/>
      <c r="F376" s="149" t="str">
        <f t="shared" si="35"/>
        <v/>
      </c>
      <c r="G376" s="201"/>
      <c r="H376" s="149" t="str">
        <f t="shared" si="37"/>
        <v/>
      </c>
      <c r="I376" s="198">
        <v>0</v>
      </c>
      <c r="J376" s="198">
        <v>0</v>
      </c>
      <c r="K376" s="198">
        <v>0</v>
      </c>
      <c r="M376" s="144" t="str">
        <f t="shared" si="38"/>
        <v/>
      </c>
      <c r="N376" s="144" t="str">
        <f t="shared" si="39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36"/>
        <v/>
      </c>
      <c r="E377" s="154"/>
      <c r="F377" s="149" t="str">
        <f t="shared" si="35"/>
        <v/>
      </c>
      <c r="G377" s="201"/>
      <c r="H377" s="149" t="str">
        <f t="shared" si="37"/>
        <v/>
      </c>
      <c r="I377" s="198">
        <v>0</v>
      </c>
      <c r="J377" s="198">
        <v>0</v>
      </c>
      <c r="K377" s="198">
        <v>0</v>
      </c>
      <c r="M377" s="144" t="str">
        <f t="shared" si="38"/>
        <v/>
      </c>
      <c r="N377" s="144" t="str">
        <f t="shared" si="39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36"/>
        <v/>
      </c>
      <c r="E378" s="154"/>
      <c r="F378" s="149" t="str">
        <f t="shared" si="35"/>
        <v/>
      </c>
      <c r="G378" s="201"/>
      <c r="H378" s="149" t="str">
        <f t="shared" si="37"/>
        <v/>
      </c>
      <c r="I378" s="198">
        <v>0</v>
      </c>
      <c r="J378" s="198">
        <v>0</v>
      </c>
      <c r="K378" s="198">
        <v>0</v>
      </c>
      <c r="M378" s="144" t="str">
        <f t="shared" si="38"/>
        <v/>
      </c>
      <c r="N378" s="144" t="str">
        <f t="shared" si="39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36"/>
        <v/>
      </c>
      <c r="E379" s="154"/>
      <c r="F379" s="149" t="str">
        <f t="shared" si="35"/>
        <v/>
      </c>
      <c r="G379" s="201"/>
      <c r="H379" s="149" t="str">
        <f t="shared" si="37"/>
        <v/>
      </c>
      <c r="I379" s="198">
        <v>0</v>
      </c>
      <c r="J379" s="198">
        <v>0</v>
      </c>
      <c r="K379" s="198">
        <v>0</v>
      </c>
      <c r="M379" s="144" t="str">
        <f t="shared" si="38"/>
        <v/>
      </c>
      <c r="N379" s="144" t="str">
        <f t="shared" si="39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36"/>
        <v/>
      </c>
      <c r="E380" s="154"/>
      <c r="F380" s="149" t="str">
        <f t="shared" si="35"/>
        <v/>
      </c>
      <c r="G380" s="201"/>
      <c r="H380" s="149" t="str">
        <f t="shared" si="37"/>
        <v/>
      </c>
      <c r="I380" s="198">
        <v>0</v>
      </c>
      <c r="J380" s="198">
        <v>0</v>
      </c>
      <c r="K380" s="198">
        <v>0</v>
      </c>
      <c r="M380" s="144" t="str">
        <f t="shared" si="38"/>
        <v/>
      </c>
      <c r="N380" s="144" t="str">
        <f t="shared" si="39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36"/>
        <v/>
      </c>
      <c r="E381" s="154"/>
      <c r="F381" s="149" t="str">
        <f t="shared" si="35"/>
        <v/>
      </c>
      <c r="G381" s="201"/>
      <c r="H381" s="149" t="str">
        <f t="shared" si="37"/>
        <v/>
      </c>
      <c r="I381" s="198">
        <v>0</v>
      </c>
      <c r="J381" s="198">
        <v>0</v>
      </c>
      <c r="K381" s="198">
        <v>0</v>
      </c>
      <c r="M381" s="144" t="str">
        <f t="shared" si="38"/>
        <v/>
      </c>
      <c r="N381" s="144" t="str">
        <f t="shared" si="39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36"/>
        <v/>
      </c>
      <c r="E382" s="154"/>
      <c r="F382" s="149" t="str">
        <f t="shared" si="35"/>
        <v/>
      </c>
      <c r="G382" s="201"/>
      <c r="H382" s="149" t="str">
        <f t="shared" si="37"/>
        <v/>
      </c>
      <c r="I382" s="198">
        <v>0</v>
      </c>
      <c r="J382" s="198">
        <v>0</v>
      </c>
      <c r="K382" s="198">
        <v>0</v>
      </c>
      <c r="M382" s="144" t="str">
        <f t="shared" si="38"/>
        <v/>
      </c>
      <c r="N382" s="144" t="str">
        <f t="shared" si="39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36"/>
        <v/>
      </c>
      <c r="E383" s="154"/>
      <c r="F383" s="149" t="str">
        <f t="shared" si="35"/>
        <v/>
      </c>
      <c r="G383" s="201"/>
      <c r="H383" s="149" t="str">
        <f t="shared" si="37"/>
        <v/>
      </c>
      <c r="I383" s="198">
        <v>0</v>
      </c>
      <c r="J383" s="198">
        <v>0</v>
      </c>
      <c r="K383" s="198">
        <v>0</v>
      </c>
      <c r="M383" s="144" t="str">
        <f t="shared" si="38"/>
        <v/>
      </c>
      <c r="N383" s="144" t="str">
        <f t="shared" si="39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36"/>
        <v/>
      </c>
      <c r="E384" s="154"/>
      <c r="F384" s="149" t="str">
        <f t="shared" si="35"/>
        <v/>
      </c>
      <c r="G384" s="201"/>
      <c r="H384" s="149" t="str">
        <f t="shared" si="37"/>
        <v/>
      </c>
      <c r="I384" s="198">
        <v>0</v>
      </c>
      <c r="J384" s="198">
        <v>0</v>
      </c>
      <c r="K384" s="198">
        <v>0</v>
      </c>
      <c r="M384" s="144" t="str">
        <f t="shared" si="38"/>
        <v/>
      </c>
      <c r="N384" s="144" t="str">
        <f t="shared" si="39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36"/>
        <v/>
      </c>
      <c r="E385" s="154"/>
      <c r="F385" s="149" t="str">
        <f t="shared" si="35"/>
        <v/>
      </c>
      <c r="G385" s="201"/>
      <c r="H385" s="149" t="str">
        <f t="shared" si="37"/>
        <v/>
      </c>
      <c r="I385" s="198">
        <v>0</v>
      </c>
      <c r="J385" s="198">
        <v>0</v>
      </c>
      <c r="K385" s="198">
        <v>0</v>
      </c>
      <c r="M385" s="144" t="str">
        <f t="shared" si="38"/>
        <v/>
      </c>
      <c r="N385" s="144" t="str">
        <f t="shared" si="39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36"/>
        <v/>
      </c>
      <c r="E386" s="154"/>
      <c r="F386" s="149" t="str">
        <f t="shared" si="35"/>
        <v/>
      </c>
      <c r="G386" s="201"/>
      <c r="H386" s="149" t="str">
        <f t="shared" si="37"/>
        <v/>
      </c>
      <c r="I386" s="198">
        <v>0</v>
      </c>
      <c r="J386" s="198">
        <v>0</v>
      </c>
      <c r="K386" s="198">
        <v>0</v>
      </c>
      <c r="M386" s="144" t="str">
        <f t="shared" si="38"/>
        <v/>
      </c>
      <c r="N386" s="144" t="str">
        <f t="shared" si="39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36"/>
        <v/>
      </c>
      <c r="E387" s="154"/>
      <c r="F387" s="149" t="str">
        <f t="shared" ref="F387:F450" si="40">IFERROR(VLOOKUP(E387,$R$5:$T$129,2,FALSE),"")</f>
        <v/>
      </c>
      <c r="G387" s="201"/>
      <c r="H387" s="149" t="str">
        <f t="shared" si="37"/>
        <v/>
      </c>
      <c r="I387" s="198">
        <v>0</v>
      </c>
      <c r="J387" s="198">
        <v>0</v>
      </c>
      <c r="K387" s="198">
        <v>0</v>
      </c>
      <c r="M387" s="144" t="str">
        <f t="shared" si="38"/>
        <v/>
      </c>
      <c r="N387" s="144" t="str">
        <f t="shared" si="39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1">IFERROR(VLOOKUP(C388,$O$6:$P$16,2,FALSE),"")</f>
        <v/>
      </c>
      <c r="E388" s="154"/>
      <c r="F388" s="149" t="str">
        <f t="shared" si="40"/>
        <v/>
      </c>
      <c r="G388" s="201"/>
      <c r="H388" s="149" t="str">
        <f t="shared" ref="H388:H451" si="42">IFERROR(VLOOKUP(G388,$X$6:$Y$50,2,FALSE),"")</f>
        <v/>
      </c>
      <c r="I388" s="198">
        <v>0</v>
      </c>
      <c r="J388" s="198">
        <v>0</v>
      </c>
      <c r="K388" s="198">
        <v>0</v>
      </c>
      <c r="M388" s="144" t="str">
        <f t="shared" ref="M388:M451" si="43">LEFT(E388,3)</f>
        <v/>
      </c>
      <c r="N388" s="144" t="str">
        <f t="shared" ref="N388:N451" si="44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1"/>
        <v/>
      </c>
      <c r="E389" s="154"/>
      <c r="F389" s="149" t="str">
        <f t="shared" si="40"/>
        <v/>
      </c>
      <c r="G389" s="201"/>
      <c r="H389" s="149" t="str">
        <f t="shared" si="42"/>
        <v/>
      </c>
      <c r="I389" s="198">
        <v>0</v>
      </c>
      <c r="J389" s="198">
        <v>0</v>
      </c>
      <c r="K389" s="198">
        <v>0</v>
      </c>
      <c r="M389" s="144" t="str">
        <f t="shared" si="43"/>
        <v/>
      </c>
      <c r="N389" s="144" t="str">
        <f t="shared" si="44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1"/>
        <v/>
      </c>
      <c r="E390" s="154"/>
      <c r="F390" s="149" t="str">
        <f t="shared" si="40"/>
        <v/>
      </c>
      <c r="G390" s="201"/>
      <c r="H390" s="149" t="str">
        <f t="shared" si="42"/>
        <v/>
      </c>
      <c r="I390" s="198">
        <v>0</v>
      </c>
      <c r="J390" s="198">
        <v>0</v>
      </c>
      <c r="K390" s="198">
        <v>0</v>
      </c>
      <c r="M390" s="144" t="str">
        <f t="shared" si="43"/>
        <v/>
      </c>
      <c r="N390" s="144" t="str">
        <f t="shared" si="44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1"/>
        <v/>
      </c>
      <c r="E391" s="154"/>
      <c r="F391" s="149" t="str">
        <f t="shared" si="40"/>
        <v/>
      </c>
      <c r="G391" s="201"/>
      <c r="H391" s="149" t="str">
        <f t="shared" si="42"/>
        <v/>
      </c>
      <c r="I391" s="198">
        <v>0</v>
      </c>
      <c r="J391" s="198">
        <v>0</v>
      </c>
      <c r="K391" s="198">
        <v>0</v>
      </c>
      <c r="M391" s="144" t="str">
        <f t="shared" si="43"/>
        <v/>
      </c>
      <c r="N391" s="144" t="str">
        <f t="shared" si="44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1"/>
        <v/>
      </c>
      <c r="E392" s="154"/>
      <c r="F392" s="149" t="str">
        <f t="shared" si="40"/>
        <v/>
      </c>
      <c r="G392" s="201"/>
      <c r="H392" s="149" t="str">
        <f t="shared" si="42"/>
        <v/>
      </c>
      <c r="I392" s="198">
        <v>0</v>
      </c>
      <c r="J392" s="198">
        <v>0</v>
      </c>
      <c r="K392" s="198">
        <v>0</v>
      </c>
      <c r="M392" s="144" t="str">
        <f t="shared" si="43"/>
        <v/>
      </c>
      <c r="N392" s="144" t="str">
        <f t="shared" si="44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1"/>
        <v/>
      </c>
      <c r="E393" s="154"/>
      <c r="F393" s="149" t="str">
        <f t="shared" si="40"/>
        <v/>
      </c>
      <c r="G393" s="201"/>
      <c r="H393" s="149" t="str">
        <f t="shared" si="42"/>
        <v/>
      </c>
      <c r="I393" s="198">
        <v>0</v>
      </c>
      <c r="J393" s="198">
        <v>0</v>
      </c>
      <c r="K393" s="198">
        <v>0</v>
      </c>
      <c r="M393" s="144" t="str">
        <f t="shared" si="43"/>
        <v/>
      </c>
      <c r="N393" s="144" t="str">
        <f t="shared" si="44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1"/>
        <v/>
      </c>
      <c r="E394" s="154"/>
      <c r="F394" s="149" t="str">
        <f t="shared" si="40"/>
        <v/>
      </c>
      <c r="G394" s="201"/>
      <c r="H394" s="149" t="str">
        <f t="shared" si="42"/>
        <v/>
      </c>
      <c r="I394" s="198">
        <v>0</v>
      </c>
      <c r="J394" s="198">
        <v>0</v>
      </c>
      <c r="K394" s="198">
        <v>0</v>
      </c>
      <c r="M394" s="144" t="str">
        <f t="shared" si="43"/>
        <v/>
      </c>
      <c r="N394" s="144" t="str">
        <f t="shared" si="44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1"/>
        <v/>
      </c>
      <c r="E395" s="154"/>
      <c r="F395" s="149" t="str">
        <f t="shared" si="40"/>
        <v/>
      </c>
      <c r="G395" s="201"/>
      <c r="H395" s="149" t="str">
        <f t="shared" si="42"/>
        <v/>
      </c>
      <c r="I395" s="198">
        <v>0</v>
      </c>
      <c r="J395" s="198">
        <v>0</v>
      </c>
      <c r="K395" s="198">
        <v>0</v>
      </c>
      <c r="M395" s="144" t="str">
        <f t="shared" si="43"/>
        <v/>
      </c>
      <c r="N395" s="144" t="str">
        <f t="shared" si="44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1"/>
        <v/>
      </c>
      <c r="E396" s="154"/>
      <c r="F396" s="149" t="str">
        <f t="shared" si="40"/>
        <v/>
      </c>
      <c r="G396" s="201"/>
      <c r="H396" s="149" t="str">
        <f t="shared" si="42"/>
        <v/>
      </c>
      <c r="I396" s="198">
        <v>0</v>
      </c>
      <c r="J396" s="198">
        <v>0</v>
      </c>
      <c r="K396" s="198">
        <v>0</v>
      </c>
      <c r="M396" s="144" t="str">
        <f t="shared" si="43"/>
        <v/>
      </c>
      <c r="N396" s="144" t="str">
        <f t="shared" si="44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1"/>
        <v/>
      </c>
      <c r="E397" s="154"/>
      <c r="F397" s="149" t="str">
        <f t="shared" si="40"/>
        <v/>
      </c>
      <c r="G397" s="201"/>
      <c r="H397" s="149" t="str">
        <f t="shared" si="42"/>
        <v/>
      </c>
      <c r="I397" s="198">
        <v>0</v>
      </c>
      <c r="J397" s="198">
        <v>0</v>
      </c>
      <c r="K397" s="198">
        <v>0</v>
      </c>
      <c r="M397" s="144" t="str">
        <f t="shared" si="43"/>
        <v/>
      </c>
      <c r="N397" s="144" t="str">
        <f t="shared" si="44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1"/>
        <v/>
      </c>
      <c r="E398" s="154"/>
      <c r="F398" s="149" t="str">
        <f t="shared" si="40"/>
        <v/>
      </c>
      <c r="G398" s="201"/>
      <c r="H398" s="149" t="str">
        <f t="shared" si="42"/>
        <v/>
      </c>
      <c r="I398" s="198">
        <v>0</v>
      </c>
      <c r="J398" s="198">
        <v>0</v>
      </c>
      <c r="K398" s="198">
        <v>0</v>
      </c>
      <c r="M398" s="144" t="str">
        <f t="shared" si="43"/>
        <v/>
      </c>
      <c r="N398" s="144" t="str">
        <f t="shared" si="44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1"/>
        <v/>
      </c>
      <c r="E399" s="154"/>
      <c r="F399" s="149" t="str">
        <f t="shared" si="40"/>
        <v/>
      </c>
      <c r="G399" s="201"/>
      <c r="H399" s="149" t="str">
        <f t="shared" si="42"/>
        <v/>
      </c>
      <c r="I399" s="198">
        <v>0</v>
      </c>
      <c r="J399" s="198">
        <v>0</v>
      </c>
      <c r="K399" s="198">
        <v>0</v>
      </c>
      <c r="M399" s="144" t="str">
        <f t="shared" si="43"/>
        <v/>
      </c>
      <c r="N399" s="144" t="str">
        <f t="shared" si="44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1"/>
        <v/>
      </c>
      <c r="E400" s="154"/>
      <c r="F400" s="149" t="str">
        <f t="shared" si="40"/>
        <v/>
      </c>
      <c r="G400" s="201"/>
      <c r="H400" s="149" t="str">
        <f t="shared" si="42"/>
        <v/>
      </c>
      <c r="I400" s="198">
        <v>0</v>
      </c>
      <c r="J400" s="198">
        <v>0</v>
      </c>
      <c r="K400" s="198">
        <v>0</v>
      </c>
      <c r="M400" s="144" t="str">
        <f t="shared" si="43"/>
        <v/>
      </c>
      <c r="N400" s="144" t="str">
        <f t="shared" si="44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1"/>
        <v/>
      </c>
      <c r="E401" s="154"/>
      <c r="F401" s="149" t="str">
        <f t="shared" si="40"/>
        <v/>
      </c>
      <c r="G401" s="201"/>
      <c r="H401" s="149" t="str">
        <f t="shared" si="42"/>
        <v/>
      </c>
      <c r="I401" s="198">
        <v>0</v>
      </c>
      <c r="J401" s="198">
        <v>0</v>
      </c>
      <c r="K401" s="198">
        <v>0</v>
      </c>
      <c r="M401" s="144" t="str">
        <f t="shared" si="43"/>
        <v/>
      </c>
      <c r="N401" s="144" t="str">
        <f t="shared" si="44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1"/>
        <v/>
      </c>
      <c r="E402" s="154"/>
      <c r="F402" s="149" t="str">
        <f t="shared" si="40"/>
        <v/>
      </c>
      <c r="G402" s="201"/>
      <c r="H402" s="149" t="str">
        <f t="shared" si="42"/>
        <v/>
      </c>
      <c r="I402" s="198">
        <v>0</v>
      </c>
      <c r="J402" s="198">
        <v>0</v>
      </c>
      <c r="K402" s="198">
        <v>0</v>
      </c>
      <c r="M402" s="144" t="str">
        <f t="shared" si="43"/>
        <v/>
      </c>
      <c r="N402" s="144" t="str">
        <f t="shared" si="44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1"/>
        <v/>
      </c>
      <c r="E403" s="154"/>
      <c r="F403" s="149" t="str">
        <f t="shared" si="40"/>
        <v/>
      </c>
      <c r="G403" s="201"/>
      <c r="H403" s="149" t="str">
        <f t="shared" si="42"/>
        <v/>
      </c>
      <c r="I403" s="198">
        <v>0</v>
      </c>
      <c r="J403" s="198">
        <v>0</v>
      </c>
      <c r="K403" s="198">
        <v>0</v>
      </c>
      <c r="M403" s="144" t="str">
        <f t="shared" si="43"/>
        <v/>
      </c>
      <c r="N403" s="144" t="str">
        <f t="shared" si="44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1"/>
        <v/>
      </c>
      <c r="E404" s="154"/>
      <c r="F404" s="149" t="str">
        <f t="shared" si="40"/>
        <v/>
      </c>
      <c r="G404" s="201"/>
      <c r="H404" s="149" t="str">
        <f t="shared" si="42"/>
        <v/>
      </c>
      <c r="I404" s="198">
        <v>0</v>
      </c>
      <c r="J404" s="198">
        <v>0</v>
      </c>
      <c r="K404" s="198">
        <v>0</v>
      </c>
      <c r="M404" s="144" t="str">
        <f t="shared" si="43"/>
        <v/>
      </c>
      <c r="N404" s="144" t="str">
        <f t="shared" si="44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1"/>
        <v/>
      </c>
      <c r="E405" s="154"/>
      <c r="F405" s="149" t="str">
        <f t="shared" si="40"/>
        <v/>
      </c>
      <c r="G405" s="201"/>
      <c r="H405" s="149" t="str">
        <f t="shared" si="42"/>
        <v/>
      </c>
      <c r="I405" s="198">
        <v>0</v>
      </c>
      <c r="J405" s="198">
        <v>0</v>
      </c>
      <c r="K405" s="198">
        <v>0</v>
      </c>
      <c r="M405" s="144" t="str">
        <f t="shared" si="43"/>
        <v/>
      </c>
      <c r="N405" s="144" t="str">
        <f t="shared" si="44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1"/>
        <v/>
      </c>
      <c r="E406" s="154"/>
      <c r="F406" s="149" t="str">
        <f t="shared" si="40"/>
        <v/>
      </c>
      <c r="G406" s="201"/>
      <c r="H406" s="149" t="str">
        <f t="shared" si="42"/>
        <v/>
      </c>
      <c r="I406" s="198">
        <v>0</v>
      </c>
      <c r="J406" s="198">
        <v>0</v>
      </c>
      <c r="K406" s="198">
        <v>0</v>
      </c>
      <c r="M406" s="144" t="str">
        <f t="shared" si="43"/>
        <v/>
      </c>
      <c r="N406" s="144" t="str">
        <f t="shared" si="44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1"/>
        <v/>
      </c>
      <c r="E407" s="154"/>
      <c r="F407" s="149" t="str">
        <f t="shared" si="40"/>
        <v/>
      </c>
      <c r="G407" s="201"/>
      <c r="H407" s="149" t="str">
        <f t="shared" si="42"/>
        <v/>
      </c>
      <c r="I407" s="198">
        <v>0</v>
      </c>
      <c r="J407" s="198">
        <v>0</v>
      </c>
      <c r="K407" s="198">
        <v>0</v>
      </c>
      <c r="M407" s="144" t="str">
        <f t="shared" si="43"/>
        <v/>
      </c>
      <c r="N407" s="144" t="str">
        <f t="shared" si="44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1"/>
        <v/>
      </c>
      <c r="E408" s="154"/>
      <c r="F408" s="149" t="str">
        <f t="shared" si="40"/>
        <v/>
      </c>
      <c r="G408" s="201"/>
      <c r="H408" s="149" t="str">
        <f t="shared" si="42"/>
        <v/>
      </c>
      <c r="I408" s="198">
        <v>0</v>
      </c>
      <c r="J408" s="198">
        <v>0</v>
      </c>
      <c r="K408" s="198">
        <v>0</v>
      </c>
      <c r="M408" s="144" t="str">
        <f t="shared" si="43"/>
        <v/>
      </c>
      <c r="N408" s="144" t="str">
        <f t="shared" si="44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1"/>
        <v/>
      </c>
      <c r="E409" s="154"/>
      <c r="F409" s="149" t="str">
        <f t="shared" si="40"/>
        <v/>
      </c>
      <c r="G409" s="201"/>
      <c r="H409" s="149" t="str">
        <f t="shared" si="42"/>
        <v/>
      </c>
      <c r="I409" s="198">
        <v>0</v>
      </c>
      <c r="J409" s="198">
        <v>0</v>
      </c>
      <c r="K409" s="198">
        <v>0</v>
      </c>
      <c r="M409" s="144" t="str">
        <f t="shared" si="43"/>
        <v/>
      </c>
      <c r="N409" s="144" t="str">
        <f t="shared" si="44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1"/>
        <v/>
      </c>
      <c r="E410" s="154"/>
      <c r="F410" s="149" t="str">
        <f t="shared" si="40"/>
        <v/>
      </c>
      <c r="G410" s="201"/>
      <c r="H410" s="149" t="str">
        <f t="shared" si="42"/>
        <v/>
      </c>
      <c r="I410" s="198">
        <v>0</v>
      </c>
      <c r="J410" s="198">
        <v>0</v>
      </c>
      <c r="K410" s="198">
        <v>0</v>
      </c>
      <c r="M410" s="144" t="str">
        <f t="shared" si="43"/>
        <v/>
      </c>
      <c r="N410" s="144" t="str">
        <f t="shared" si="44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1"/>
        <v/>
      </c>
      <c r="E411" s="154"/>
      <c r="F411" s="149" t="str">
        <f t="shared" si="40"/>
        <v/>
      </c>
      <c r="G411" s="201"/>
      <c r="H411" s="149" t="str">
        <f t="shared" si="42"/>
        <v/>
      </c>
      <c r="I411" s="198">
        <v>0</v>
      </c>
      <c r="J411" s="198">
        <v>0</v>
      </c>
      <c r="K411" s="198">
        <v>0</v>
      </c>
      <c r="M411" s="144" t="str">
        <f t="shared" si="43"/>
        <v/>
      </c>
      <c r="N411" s="144" t="str">
        <f t="shared" si="44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1"/>
        <v/>
      </c>
      <c r="E412" s="154"/>
      <c r="F412" s="149" t="str">
        <f t="shared" si="40"/>
        <v/>
      </c>
      <c r="G412" s="201"/>
      <c r="H412" s="149" t="str">
        <f t="shared" si="42"/>
        <v/>
      </c>
      <c r="I412" s="198">
        <v>0</v>
      </c>
      <c r="J412" s="198">
        <v>0</v>
      </c>
      <c r="K412" s="198">
        <v>0</v>
      </c>
      <c r="M412" s="144" t="str">
        <f t="shared" si="43"/>
        <v/>
      </c>
      <c r="N412" s="144" t="str">
        <f t="shared" si="44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1"/>
        <v/>
      </c>
      <c r="E413" s="154"/>
      <c r="F413" s="149" t="str">
        <f t="shared" si="40"/>
        <v/>
      </c>
      <c r="G413" s="201"/>
      <c r="H413" s="149" t="str">
        <f t="shared" si="42"/>
        <v/>
      </c>
      <c r="I413" s="198">
        <v>0</v>
      </c>
      <c r="J413" s="198">
        <v>0</v>
      </c>
      <c r="K413" s="198">
        <v>0</v>
      </c>
      <c r="M413" s="144" t="str">
        <f t="shared" si="43"/>
        <v/>
      </c>
      <c r="N413" s="144" t="str">
        <f t="shared" si="44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1"/>
        <v/>
      </c>
      <c r="E414" s="154"/>
      <c r="F414" s="149" t="str">
        <f t="shared" si="40"/>
        <v/>
      </c>
      <c r="G414" s="201"/>
      <c r="H414" s="149" t="str">
        <f t="shared" si="42"/>
        <v/>
      </c>
      <c r="I414" s="198">
        <v>0</v>
      </c>
      <c r="J414" s="198">
        <v>0</v>
      </c>
      <c r="K414" s="198">
        <v>0</v>
      </c>
      <c r="M414" s="144" t="str">
        <f t="shared" si="43"/>
        <v/>
      </c>
      <c r="N414" s="144" t="str">
        <f t="shared" si="44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1"/>
        <v/>
      </c>
      <c r="E415" s="154"/>
      <c r="F415" s="149" t="str">
        <f t="shared" si="40"/>
        <v/>
      </c>
      <c r="G415" s="201"/>
      <c r="H415" s="149" t="str">
        <f t="shared" si="42"/>
        <v/>
      </c>
      <c r="I415" s="198">
        <v>0</v>
      </c>
      <c r="J415" s="198">
        <v>0</v>
      </c>
      <c r="K415" s="198">
        <v>0</v>
      </c>
      <c r="M415" s="144" t="str">
        <f t="shared" si="43"/>
        <v/>
      </c>
      <c r="N415" s="144" t="str">
        <f t="shared" si="44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1"/>
        <v/>
      </c>
      <c r="E416" s="154"/>
      <c r="F416" s="149" t="str">
        <f t="shared" si="40"/>
        <v/>
      </c>
      <c r="G416" s="201"/>
      <c r="H416" s="149" t="str">
        <f t="shared" si="42"/>
        <v/>
      </c>
      <c r="I416" s="198">
        <v>0</v>
      </c>
      <c r="J416" s="198">
        <v>0</v>
      </c>
      <c r="K416" s="198">
        <v>0</v>
      </c>
      <c r="M416" s="144" t="str">
        <f t="shared" si="43"/>
        <v/>
      </c>
      <c r="N416" s="144" t="str">
        <f t="shared" si="44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1"/>
        <v/>
      </c>
      <c r="E417" s="154"/>
      <c r="F417" s="149" t="str">
        <f t="shared" si="40"/>
        <v/>
      </c>
      <c r="G417" s="201"/>
      <c r="H417" s="149" t="str">
        <f t="shared" si="42"/>
        <v/>
      </c>
      <c r="I417" s="198">
        <v>0</v>
      </c>
      <c r="J417" s="198">
        <v>0</v>
      </c>
      <c r="K417" s="198">
        <v>0</v>
      </c>
      <c r="M417" s="144" t="str">
        <f t="shared" si="43"/>
        <v/>
      </c>
      <c r="N417" s="144" t="str">
        <f t="shared" si="44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1"/>
        <v/>
      </c>
      <c r="E418" s="154"/>
      <c r="F418" s="149" t="str">
        <f t="shared" si="40"/>
        <v/>
      </c>
      <c r="G418" s="201"/>
      <c r="H418" s="149" t="str">
        <f t="shared" si="42"/>
        <v/>
      </c>
      <c r="I418" s="198">
        <v>0</v>
      </c>
      <c r="J418" s="198">
        <v>0</v>
      </c>
      <c r="K418" s="198">
        <v>0</v>
      </c>
      <c r="M418" s="144" t="str">
        <f t="shared" si="43"/>
        <v/>
      </c>
      <c r="N418" s="144" t="str">
        <f t="shared" si="44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1"/>
        <v/>
      </c>
      <c r="E419" s="154"/>
      <c r="F419" s="149" t="str">
        <f t="shared" si="40"/>
        <v/>
      </c>
      <c r="G419" s="201"/>
      <c r="H419" s="149" t="str">
        <f t="shared" si="42"/>
        <v/>
      </c>
      <c r="I419" s="198">
        <v>0</v>
      </c>
      <c r="J419" s="198">
        <v>0</v>
      </c>
      <c r="K419" s="198">
        <v>0</v>
      </c>
      <c r="M419" s="144" t="str">
        <f t="shared" si="43"/>
        <v/>
      </c>
      <c r="N419" s="144" t="str">
        <f t="shared" si="44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1"/>
        <v/>
      </c>
      <c r="E420" s="154"/>
      <c r="F420" s="149" t="str">
        <f t="shared" si="40"/>
        <v/>
      </c>
      <c r="G420" s="201"/>
      <c r="H420" s="149" t="str">
        <f t="shared" si="42"/>
        <v/>
      </c>
      <c r="I420" s="198">
        <v>0</v>
      </c>
      <c r="J420" s="198">
        <v>0</v>
      </c>
      <c r="K420" s="198">
        <v>0</v>
      </c>
      <c r="M420" s="144" t="str">
        <f t="shared" si="43"/>
        <v/>
      </c>
      <c r="N420" s="144" t="str">
        <f t="shared" si="44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1"/>
        <v/>
      </c>
      <c r="E421" s="154"/>
      <c r="F421" s="149" t="str">
        <f t="shared" si="40"/>
        <v/>
      </c>
      <c r="G421" s="201"/>
      <c r="H421" s="149" t="str">
        <f t="shared" si="42"/>
        <v/>
      </c>
      <c r="I421" s="198">
        <v>0</v>
      </c>
      <c r="J421" s="198">
        <v>0</v>
      </c>
      <c r="K421" s="198">
        <v>0</v>
      </c>
      <c r="M421" s="144" t="str">
        <f t="shared" si="43"/>
        <v/>
      </c>
      <c r="N421" s="144" t="str">
        <f t="shared" si="44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1"/>
        <v/>
      </c>
      <c r="E422" s="154"/>
      <c r="F422" s="149" t="str">
        <f t="shared" si="40"/>
        <v/>
      </c>
      <c r="G422" s="201"/>
      <c r="H422" s="149" t="str">
        <f t="shared" si="42"/>
        <v/>
      </c>
      <c r="I422" s="198">
        <v>0</v>
      </c>
      <c r="J422" s="198">
        <v>0</v>
      </c>
      <c r="K422" s="198">
        <v>0</v>
      </c>
      <c r="M422" s="144" t="str">
        <f t="shared" si="43"/>
        <v/>
      </c>
      <c r="N422" s="144" t="str">
        <f t="shared" si="44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1"/>
        <v/>
      </c>
      <c r="E423" s="154"/>
      <c r="F423" s="149" t="str">
        <f t="shared" si="40"/>
        <v/>
      </c>
      <c r="G423" s="201"/>
      <c r="H423" s="149" t="str">
        <f t="shared" si="42"/>
        <v/>
      </c>
      <c r="I423" s="198">
        <v>0</v>
      </c>
      <c r="J423" s="198">
        <v>0</v>
      </c>
      <c r="K423" s="198">
        <v>0</v>
      </c>
      <c r="M423" s="144" t="str">
        <f t="shared" si="43"/>
        <v/>
      </c>
      <c r="N423" s="144" t="str">
        <f t="shared" si="44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1"/>
        <v/>
      </c>
      <c r="E424" s="154"/>
      <c r="F424" s="149" t="str">
        <f t="shared" si="40"/>
        <v/>
      </c>
      <c r="G424" s="201"/>
      <c r="H424" s="149" t="str">
        <f t="shared" si="42"/>
        <v/>
      </c>
      <c r="I424" s="198">
        <v>0</v>
      </c>
      <c r="J424" s="198">
        <v>0</v>
      </c>
      <c r="K424" s="198">
        <v>0</v>
      </c>
      <c r="M424" s="144" t="str">
        <f t="shared" si="43"/>
        <v/>
      </c>
      <c r="N424" s="144" t="str">
        <f t="shared" si="44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1"/>
        <v/>
      </c>
      <c r="E425" s="154"/>
      <c r="F425" s="149" t="str">
        <f t="shared" si="40"/>
        <v/>
      </c>
      <c r="G425" s="201"/>
      <c r="H425" s="149" t="str">
        <f t="shared" si="42"/>
        <v/>
      </c>
      <c r="I425" s="198">
        <v>0</v>
      </c>
      <c r="J425" s="198">
        <v>0</v>
      </c>
      <c r="K425" s="198">
        <v>0</v>
      </c>
      <c r="M425" s="144" t="str">
        <f t="shared" si="43"/>
        <v/>
      </c>
      <c r="N425" s="144" t="str">
        <f t="shared" si="44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1"/>
        <v/>
      </c>
      <c r="E426" s="154"/>
      <c r="F426" s="149" t="str">
        <f t="shared" si="40"/>
        <v/>
      </c>
      <c r="G426" s="201"/>
      <c r="H426" s="149" t="str">
        <f t="shared" si="42"/>
        <v/>
      </c>
      <c r="I426" s="198">
        <v>0</v>
      </c>
      <c r="J426" s="198">
        <v>0</v>
      </c>
      <c r="K426" s="198">
        <v>0</v>
      </c>
      <c r="M426" s="144" t="str">
        <f t="shared" si="43"/>
        <v/>
      </c>
      <c r="N426" s="144" t="str">
        <f t="shared" si="44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1"/>
        <v/>
      </c>
      <c r="E427" s="154"/>
      <c r="F427" s="149" t="str">
        <f t="shared" si="40"/>
        <v/>
      </c>
      <c r="G427" s="201"/>
      <c r="H427" s="149" t="str">
        <f t="shared" si="42"/>
        <v/>
      </c>
      <c r="I427" s="198">
        <v>0</v>
      </c>
      <c r="J427" s="198">
        <v>0</v>
      </c>
      <c r="K427" s="198">
        <v>0</v>
      </c>
      <c r="M427" s="144" t="str">
        <f t="shared" si="43"/>
        <v/>
      </c>
      <c r="N427" s="144" t="str">
        <f t="shared" si="44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1"/>
        <v/>
      </c>
      <c r="E428" s="154"/>
      <c r="F428" s="149" t="str">
        <f t="shared" si="40"/>
        <v/>
      </c>
      <c r="G428" s="201"/>
      <c r="H428" s="149" t="str">
        <f t="shared" si="42"/>
        <v/>
      </c>
      <c r="I428" s="198">
        <v>0</v>
      </c>
      <c r="J428" s="198">
        <v>0</v>
      </c>
      <c r="K428" s="198">
        <v>0</v>
      </c>
      <c r="M428" s="144" t="str">
        <f t="shared" si="43"/>
        <v/>
      </c>
      <c r="N428" s="144" t="str">
        <f t="shared" si="44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1"/>
        <v/>
      </c>
      <c r="E429" s="154"/>
      <c r="F429" s="149" t="str">
        <f t="shared" si="40"/>
        <v/>
      </c>
      <c r="G429" s="201"/>
      <c r="H429" s="149" t="str">
        <f t="shared" si="42"/>
        <v/>
      </c>
      <c r="I429" s="198">
        <v>0</v>
      </c>
      <c r="J429" s="198">
        <v>0</v>
      </c>
      <c r="K429" s="198">
        <v>0</v>
      </c>
      <c r="M429" s="144" t="str">
        <f t="shared" si="43"/>
        <v/>
      </c>
      <c r="N429" s="144" t="str">
        <f t="shared" si="44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1"/>
        <v/>
      </c>
      <c r="E430" s="154"/>
      <c r="F430" s="149" t="str">
        <f t="shared" si="40"/>
        <v/>
      </c>
      <c r="G430" s="201"/>
      <c r="H430" s="149" t="str">
        <f t="shared" si="42"/>
        <v/>
      </c>
      <c r="I430" s="198">
        <v>0</v>
      </c>
      <c r="J430" s="198">
        <v>0</v>
      </c>
      <c r="K430" s="198">
        <v>0</v>
      </c>
      <c r="M430" s="144" t="str">
        <f t="shared" si="43"/>
        <v/>
      </c>
      <c r="N430" s="144" t="str">
        <f t="shared" si="44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1"/>
        <v/>
      </c>
      <c r="E431" s="154"/>
      <c r="F431" s="149" t="str">
        <f t="shared" si="40"/>
        <v/>
      </c>
      <c r="G431" s="201"/>
      <c r="H431" s="149" t="str">
        <f t="shared" si="42"/>
        <v/>
      </c>
      <c r="I431" s="198">
        <v>0</v>
      </c>
      <c r="J431" s="198">
        <v>0</v>
      </c>
      <c r="K431" s="198">
        <v>0</v>
      </c>
      <c r="M431" s="144" t="str">
        <f t="shared" si="43"/>
        <v/>
      </c>
      <c r="N431" s="144" t="str">
        <f t="shared" si="44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1"/>
        <v/>
      </c>
      <c r="E432" s="154"/>
      <c r="F432" s="149" t="str">
        <f t="shared" si="40"/>
        <v/>
      </c>
      <c r="G432" s="201"/>
      <c r="H432" s="149" t="str">
        <f t="shared" si="42"/>
        <v/>
      </c>
      <c r="I432" s="198">
        <v>0</v>
      </c>
      <c r="J432" s="198">
        <v>0</v>
      </c>
      <c r="K432" s="198">
        <v>0</v>
      </c>
      <c r="M432" s="144" t="str">
        <f t="shared" si="43"/>
        <v/>
      </c>
      <c r="N432" s="144" t="str">
        <f t="shared" si="44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1"/>
        <v/>
      </c>
      <c r="E433" s="154"/>
      <c r="F433" s="149" t="str">
        <f t="shared" si="40"/>
        <v/>
      </c>
      <c r="G433" s="201"/>
      <c r="H433" s="149" t="str">
        <f t="shared" si="42"/>
        <v/>
      </c>
      <c r="I433" s="198">
        <v>0</v>
      </c>
      <c r="J433" s="198">
        <v>0</v>
      </c>
      <c r="K433" s="198">
        <v>0</v>
      </c>
      <c r="M433" s="144" t="str">
        <f t="shared" si="43"/>
        <v/>
      </c>
      <c r="N433" s="144" t="str">
        <f t="shared" si="44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1"/>
        <v/>
      </c>
      <c r="E434" s="154"/>
      <c r="F434" s="149" t="str">
        <f t="shared" si="40"/>
        <v/>
      </c>
      <c r="G434" s="201"/>
      <c r="H434" s="149" t="str">
        <f t="shared" si="42"/>
        <v/>
      </c>
      <c r="I434" s="198">
        <v>0</v>
      </c>
      <c r="J434" s="198">
        <v>0</v>
      </c>
      <c r="K434" s="198">
        <v>0</v>
      </c>
      <c r="M434" s="144" t="str">
        <f t="shared" si="43"/>
        <v/>
      </c>
      <c r="N434" s="144" t="str">
        <f t="shared" si="44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1"/>
        <v/>
      </c>
      <c r="E435" s="154"/>
      <c r="F435" s="149" t="str">
        <f t="shared" si="40"/>
        <v/>
      </c>
      <c r="G435" s="201"/>
      <c r="H435" s="149" t="str">
        <f t="shared" si="42"/>
        <v/>
      </c>
      <c r="I435" s="198">
        <v>0</v>
      </c>
      <c r="J435" s="198">
        <v>0</v>
      </c>
      <c r="K435" s="198">
        <v>0</v>
      </c>
      <c r="M435" s="144" t="str">
        <f t="shared" si="43"/>
        <v/>
      </c>
      <c r="N435" s="144" t="str">
        <f t="shared" si="44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1"/>
        <v/>
      </c>
      <c r="E436" s="154"/>
      <c r="F436" s="149" t="str">
        <f t="shared" si="40"/>
        <v/>
      </c>
      <c r="G436" s="201"/>
      <c r="H436" s="149" t="str">
        <f t="shared" si="42"/>
        <v/>
      </c>
      <c r="I436" s="198">
        <v>0</v>
      </c>
      <c r="J436" s="198">
        <v>0</v>
      </c>
      <c r="K436" s="198">
        <v>0</v>
      </c>
      <c r="M436" s="144" t="str">
        <f t="shared" si="43"/>
        <v/>
      </c>
      <c r="N436" s="144" t="str">
        <f t="shared" si="44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1"/>
        <v/>
      </c>
      <c r="E437" s="154"/>
      <c r="F437" s="149" t="str">
        <f t="shared" si="40"/>
        <v/>
      </c>
      <c r="G437" s="201"/>
      <c r="H437" s="149" t="str">
        <f t="shared" si="42"/>
        <v/>
      </c>
      <c r="I437" s="198">
        <v>0</v>
      </c>
      <c r="J437" s="198">
        <v>0</v>
      </c>
      <c r="K437" s="198">
        <v>0</v>
      </c>
      <c r="M437" s="144" t="str">
        <f t="shared" si="43"/>
        <v/>
      </c>
      <c r="N437" s="144" t="str">
        <f t="shared" si="44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1"/>
        <v/>
      </c>
      <c r="E438" s="154"/>
      <c r="F438" s="149" t="str">
        <f t="shared" si="40"/>
        <v/>
      </c>
      <c r="G438" s="201"/>
      <c r="H438" s="149" t="str">
        <f t="shared" si="42"/>
        <v/>
      </c>
      <c r="I438" s="198">
        <v>0</v>
      </c>
      <c r="J438" s="198">
        <v>0</v>
      </c>
      <c r="K438" s="198">
        <v>0</v>
      </c>
      <c r="M438" s="144" t="str">
        <f t="shared" si="43"/>
        <v/>
      </c>
      <c r="N438" s="144" t="str">
        <f t="shared" si="44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1"/>
        <v/>
      </c>
      <c r="E439" s="154"/>
      <c r="F439" s="149" t="str">
        <f t="shared" si="40"/>
        <v/>
      </c>
      <c r="G439" s="201"/>
      <c r="H439" s="149" t="str">
        <f t="shared" si="42"/>
        <v/>
      </c>
      <c r="I439" s="198">
        <v>0</v>
      </c>
      <c r="J439" s="198">
        <v>0</v>
      </c>
      <c r="K439" s="198">
        <v>0</v>
      </c>
      <c r="M439" s="144" t="str">
        <f t="shared" si="43"/>
        <v/>
      </c>
      <c r="N439" s="144" t="str">
        <f t="shared" si="44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1"/>
        <v/>
      </c>
      <c r="E440" s="154"/>
      <c r="F440" s="149" t="str">
        <f t="shared" si="40"/>
        <v/>
      </c>
      <c r="G440" s="201"/>
      <c r="H440" s="149" t="str">
        <f t="shared" si="42"/>
        <v/>
      </c>
      <c r="I440" s="198">
        <v>0</v>
      </c>
      <c r="J440" s="198">
        <v>0</v>
      </c>
      <c r="K440" s="198">
        <v>0</v>
      </c>
      <c r="M440" s="144" t="str">
        <f t="shared" si="43"/>
        <v/>
      </c>
      <c r="N440" s="144" t="str">
        <f t="shared" si="44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1"/>
        <v/>
      </c>
      <c r="E441" s="154"/>
      <c r="F441" s="149" t="str">
        <f t="shared" si="40"/>
        <v/>
      </c>
      <c r="G441" s="201"/>
      <c r="H441" s="149" t="str">
        <f t="shared" si="42"/>
        <v/>
      </c>
      <c r="I441" s="198">
        <v>0</v>
      </c>
      <c r="J441" s="198">
        <v>0</v>
      </c>
      <c r="K441" s="198">
        <v>0</v>
      </c>
      <c r="M441" s="144" t="str">
        <f t="shared" si="43"/>
        <v/>
      </c>
      <c r="N441" s="144" t="str">
        <f t="shared" si="44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1"/>
        <v/>
      </c>
      <c r="E442" s="154"/>
      <c r="F442" s="149" t="str">
        <f t="shared" si="40"/>
        <v/>
      </c>
      <c r="G442" s="201"/>
      <c r="H442" s="149" t="str">
        <f t="shared" si="42"/>
        <v/>
      </c>
      <c r="I442" s="198">
        <v>0</v>
      </c>
      <c r="J442" s="198">
        <v>0</v>
      </c>
      <c r="K442" s="198">
        <v>0</v>
      </c>
      <c r="M442" s="144" t="str">
        <f t="shared" si="43"/>
        <v/>
      </c>
      <c r="N442" s="144" t="str">
        <f t="shared" si="44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1"/>
        <v/>
      </c>
      <c r="E443" s="154"/>
      <c r="F443" s="149" t="str">
        <f t="shared" si="40"/>
        <v/>
      </c>
      <c r="G443" s="201"/>
      <c r="H443" s="149" t="str">
        <f t="shared" si="42"/>
        <v/>
      </c>
      <c r="I443" s="198">
        <v>0</v>
      </c>
      <c r="J443" s="198">
        <v>0</v>
      </c>
      <c r="K443" s="198">
        <v>0</v>
      </c>
      <c r="M443" s="144" t="str">
        <f t="shared" si="43"/>
        <v/>
      </c>
      <c r="N443" s="144" t="str">
        <f t="shared" si="44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1"/>
        <v/>
      </c>
      <c r="E444" s="154"/>
      <c r="F444" s="149" t="str">
        <f t="shared" si="40"/>
        <v/>
      </c>
      <c r="G444" s="201"/>
      <c r="H444" s="149" t="str">
        <f t="shared" si="42"/>
        <v/>
      </c>
      <c r="I444" s="198">
        <v>0</v>
      </c>
      <c r="J444" s="198">
        <v>0</v>
      </c>
      <c r="K444" s="198">
        <v>0</v>
      </c>
      <c r="M444" s="144" t="str">
        <f t="shared" si="43"/>
        <v/>
      </c>
      <c r="N444" s="144" t="str">
        <f t="shared" si="44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1"/>
        <v/>
      </c>
      <c r="E445" s="154"/>
      <c r="F445" s="149" t="str">
        <f t="shared" si="40"/>
        <v/>
      </c>
      <c r="G445" s="201"/>
      <c r="H445" s="149" t="str">
        <f t="shared" si="42"/>
        <v/>
      </c>
      <c r="I445" s="198">
        <v>0</v>
      </c>
      <c r="J445" s="198">
        <v>0</v>
      </c>
      <c r="K445" s="198">
        <v>0</v>
      </c>
      <c r="M445" s="144" t="str">
        <f t="shared" si="43"/>
        <v/>
      </c>
      <c r="N445" s="144" t="str">
        <f t="shared" si="44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1"/>
        <v/>
      </c>
      <c r="E446" s="154"/>
      <c r="F446" s="149" t="str">
        <f t="shared" si="40"/>
        <v/>
      </c>
      <c r="G446" s="201"/>
      <c r="H446" s="149" t="str">
        <f t="shared" si="42"/>
        <v/>
      </c>
      <c r="I446" s="198">
        <v>0</v>
      </c>
      <c r="J446" s="198">
        <v>0</v>
      </c>
      <c r="K446" s="198">
        <v>0</v>
      </c>
      <c r="M446" s="144" t="str">
        <f t="shared" si="43"/>
        <v/>
      </c>
      <c r="N446" s="144" t="str">
        <f t="shared" si="44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1"/>
        <v/>
      </c>
      <c r="E447" s="154"/>
      <c r="F447" s="149" t="str">
        <f t="shared" si="40"/>
        <v/>
      </c>
      <c r="G447" s="201"/>
      <c r="H447" s="149" t="str">
        <f t="shared" si="42"/>
        <v/>
      </c>
      <c r="I447" s="198">
        <v>0</v>
      </c>
      <c r="J447" s="198">
        <v>0</v>
      </c>
      <c r="K447" s="198">
        <v>0</v>
      </c>
      <c r="M447" s="144" t="str">
        <f t="shared" si="43"/>
        <v/>
      </c>
      <c r="N447" s="144" t="str">
        <f t="shared" si="44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1"/>
        <v/>
      </c>
      <c r="E448" s="154"/>
      <c r="F448" s="149" t="str">
        <f t="shared" si="40"/>
        <v/>
      </c>
      <c r="G448" s="201"/>
      <c r="H448" s="149" t="str">
        <f t="shared" si="42"/>
        <v/>
      </c>
      <c r="I448" s="198">
        <v>0</v>
      </c>
      <c r="J448" s="198">
        <v>0</v>
      </c>
      <c r="K448" s="198">
        <v>0</v>
      </c>
      <c r="M448" s="144" t="str">
        <f t="shared" si="43"/>
        <v/>
      </c>
      <c r="N448" s="144" t="str">
        <f t="shared" si="44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1"/>
        <v/>
      </c>
      <c r="E449" s="154"/>
      <c r="F449" s="149" t="str">
        <f t="shared" si="40"/>
        <v/>
      </c>
      <c r="G449" s="201"/>
      <c r="H449" s="149" t="str">
        <f t="shared" si="42"/>
        <v/>
      </c>
      <c r="I449" s="198">
        <v>0</v>
      </c>
      <c r="J449" s="198">
        <v>0</v>
      </c>
      <c r="K449" s="198">
        <v>0</v>
      </c>
      <c r="M449" s="144" t="str">
        <f t="shared" si="43"/>
        <v/>
      </c>
      <c r="N449" s="144" t="str">
        <f t="shared" si="44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1"/>
        <v/>
      </c>
      <c r="E450" s="154"/>
      <c r="F450" s="149" t="str">
        <f t="shared" si="40"/>
        <v/>
      </c>
      <c r="G450" s="201"/>
      <c r="H450" s="149" t="str">
        <f t="shared" si="42"/>
        <v/>
      </c>
      <c r="I450" s="198">
        <v>0</v>
      </c>
      <c r="J450" s="198">
        <v>0</v>
      </c>
      <c r="K450" s="198">
        <v>0</v>
      </c>
      <c r="M450" s="144" t="str">
        <f t="shared" si="43"/>
        <v/>
      </c>
      <c r="N450" s="144" t="str">
        <f t="shared" si="44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1"/>
        <v/>
      </c>
      <c r="E451" s="154"/>
      <c r="F451" s="149" t="str">
        <f t="shared" ref="F451:F501" si="45">IFERROR(VLOOKUP(E451,$R$5:$T$129,2,FALSE),"")</f>
        <v/>
      </c>
      <c r="G451" s="201"/>
      <c r="H451" s="149" t="str">
        <f t="shared" si="42"/>
        <v/>
      </c>
      <c r="I451" s="198">
        <v>0</v>
      </c>
      <c r="J451" s="198">
        <v>0</v>
      </c>
      <c r="K451" s="198">
        <v>0</v>
      </c>
      <c r="M451" s="144" t="str">
        <f t="shared" si="43"/>
        <v/>
      </c>
      <c r="N451" s="144" t="str">
        <f t="shared" si="44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46">IFERROR(VLOOKUP(C452,$O$6:$P$16,2,FALSE),"")</f>
        <v/>
      </c>
      <c r="E452" s="154"/>
      <c r="F452" s="149" t="str">
        <f t="shared" si="45"/>
        <v/>
      </c>
      <c r="G452" s="201"/>
      <c r="H452" s="149" t="str">
        <f t="shared" ref="H452:H501" si="47">IFERROR(VLOOKUP(G452,$X$6:$Y$50,2,FALSE),"")</f>
        <v/>
      </c>
      <c r="I452" s="198">
        <v>0</v>
      </c>
      <c r="J452" s="198">
        <v>0</v>
      </c>
      <c r="K452" s="198">
        <v>0</v>
      </c>
      <c r="M452" s="144" t="str">
        <f t="shared" ref="M452:M501" si="48">LEFT(E452,3)</f>
        <v/>
      </c>
      <c r="N452" s="144" t="str">
        <f t="shared" ref="N452:N501" si="49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46"/>
        <v/>
      </c>
      <c r="E453" s="154"/>
      <c r="F453" s="149" t="str">
        <f t="shared" si="45"/>
        <v/>
      </c>
      <c r="G453" s="201"/>
      <c r="H453" s="149" t="str">
        <f t="shared" si="47"/>
        <v/>
      </c>
      <c r="I453" s="198">
        <v>0</v>
      </c>
      <c r="J453" s="198">
        <v>0</v>
      </c>
      <c r="K453" s="198">
        <v>0</v>
      </c>
      <c r="M453" s="144" t="str">
        <f t="shared" si="48"/>
        <v/>
      </c>
      <c r="N453" s="144" t="str">
        <f t="shared" si="49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46"/>
        <v/>
      </c>
      <c r="E454" s="154"/>
      <c r="F454" s="149" t="str">
        <f t="shared" si="45"/>
        <v/>
      </c>
      <c r="G454" s="201"/>
      <c r="H454" s="149" t="str">
        <f t="shared" si="47"/>
        <v/>
      </c>
      <c r="I454" s="198">
        <v>0</v>
      </c>
      <c r="J454" s="198">
        <v>0</v>
      </c>
      <c r="K454" s="198">
        <v>0</v>
      </c>
      <c r="M454" s="144" t="str">
        <f t="shared" si="48"/>
        <v/>
      </c>
      <c r="N454" s="144" t="str">
        <f t="shared" si="49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46"/>
        <v/>
      </c>
      <c r="E455" s="154"/>
      <c r="F455" s="149" t="str">
        <f t="shared" si="45"/>
        <v/>
      </c>
      <c r="G455" s="201"/>
      <c r="H455" s="149" t="str">
        <f t="shared" si="47"/>
        <v/>
      </c>
      <c r="I455" s="198">
        <v>0</v>
      </c>
      <c r="J455" s="198">
        <v>0</v>
      </c>
      <c r="K455" s="198">
        <v>0</v>
      </c>
      <c r="M455" s="144" t="str">
        <f t="shared" si="48"/>
        <v/>
      </c>
      <c r="N455" s="144" t="str">
        <f t="shared" si="49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46"/>
        <v/>
      </c>
      <c r="E456" s="154"/>
      <c r="F456" s="149" t="str">
        <f t="shared" si="45"/>
        <v/>
      </c>
      <c r="G456" s="201"/>
      <c r="H456" s="149" t="str">
        <f t="shared" si="47"/>
        <v/>
      </c>
      <c r="I456" s="198">
        <v>0</v>
      </c>
      <c r="J456" s="198">
        <v>0</v>
      </c>
      <c r="K456" s="198">
        <v>0</v>
      </c>
      <c r="M456" s="144" t="str">
        <f t="shared" si="48"/>
        <v/>
      </c>
      <c r="N456" s="144" t="str">
        <f t="shared" si="49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46"/>
        <v/>
      </c>
      <c r="E457" s="154"/>
      <c r="F457" s="149" t="str">
        <f t="shared" si="45"/>
        <v/>
      </c>
      <c r="G457" s="201"/>
      <c r="H457" s="149" t="str">
        <f t="shared" si="47"/>
        <v/>
      </c>
      <c r="I457" s="198">
        <v>0</v>
      </c>
      <c r="J457" s="198">
        <v>0</v>
      </c>
      <c r="K457" s="198">
        <v>0</v>
      </c>
      <c r="M457" s="144" t="str">
        <f t="shared" si="48"/>
        <v/>
      </c>
      <c r="N457" s="144" t="str">
        <f t="shared" si="49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46"/>
        <v/>
      </c>
      <c r="E458" s="154"/>
      <c r="F458" s="149" t="str">
        <f t="shared" si="45"/>
        <v/>
      </c>
      <c r="G458" s="201"/>
      <c r="H458" s="149" t="str">
        <f t="shared" si="47"/>
        <v/>
      </c>
      <c r="I458" s="198">
        <v>0</v>
      </c>
      <c r="J458" s="198">
        <v>0</v>
      </c>
      <c r="K458" s="198">
        <v>0</v>
      </c>
      <c r="M458" s="144" t="str">
        <f t="shared" si="48"/>
        <v/>
      </c>
      <c r="N458" s="144" t="str">
        <f t="shared" si="49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46"/>
        <v/>
      </c>
      <c r="E459" s="154"/>
      <c r="F459" s="149" t="str">
        <f t="shared" si="45"/>
        <v/>
      </c>
      <c r="G459" s="201"/>
      <c r="H459" s="149" t="str">
        <f t="shared" si="47"/>
        <v/>
      </c>
      <c r="I459" s="198">
        <v>0</v>
      </c>
      <c r="J459" s="198">
        <v>0</v>
      </c>
      <c r="K459" s="198">
        <v>0</v>
      </c>
      <c r="M459" s="144" t="str">
        <f t="shared" si="48"/>
        <v/>
      </c>
      <c r="N459" s="144" t="str">
        <f t="shared" si="49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46"/>
        <v/>
      </c>
      <c r="E460" s="154"/>
      <c r="F460" s="149" t="str">
        <f t="shared" si="45"/>
        <v/>
      </c>
      <c r="G460" s="201"/>
      <c r="H460" s="149" t="str">
        <f t="shared" si="47"/>
        <v/>
      </c>
      <c r="I460" s="198">
        <v>0</v>
      </c>
      <c r="J460" s="198">
        <v>0</v>
      </c>
      <c r="K460" s="198">
        <v>0</v>
      </c>
      <c r="M460" s="144" t="str">
        <f t="shared" si="48"/>
        <v/>
      </c>
      <c r="N460" s="144" t="str">
        <f t="shared" si="49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46"/>
        <v/>
      </c>
      <c r="E461" s="154"/>
      <c r="F461" s="149" t="str">
        <f t="shared" si="45"/>
        <v/>
      </c>
      <c r="G461" s="201"/>
      <c r="H461" s="149" t="str">
        <f t="shared" si="47"/>
        <v/>
      </c>
      <c r="I461" s="198">
        <v>0</v>
      </c>
      <c r="J461" s="198">
        <v>0</v>
      </c>
      <c r="K461" s="198">
        <v>0</v>
      </c>
      <c r="M461" s="144" t="str">
        <f t="shared" si="48"/>
        <v/>
      </c>
      <c r="N461" s="144" t="str">
        <f t="shared" si="49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46"/>
        <v/>
      </c>
      <c r="E462" s="154"/>
      <c r="F462" s="149" t="str">
        <f t="shared" si="45"/>
        <v/>
      </c>
      <c r="G462" s="201"/>
      <c r="H462" s="149" t="str">
        <f t="shared" si="47"/>
        <v/>
      </c>
      <c r="I462" s="198">
        <v>0</v>
      </c>
      <c r="J462" s="198">
        <v>0</v>
      </c>
      <c r="K462" s="198">
        <v>0</v>
      </c>
      <c r="M462" s="144" t="str">
        <f t="shared" si="48"/>
        <v/>
      </c>
      <c r="N462" s="144" t="str">
        <f t="shared" si="49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46"/>
        <v/>
      </c>
      <c r="E463" s="154"/>
      <c r="F463" s="149" t="str">
        <f t="shared" si="45"/>
        <v/>
      </c>
      <c r="G463" s="201"/>
      <c r="H463" s="149" t="str">
        <f t="shared" si="47"/>
        <v/>
      </c>
      <c r="I463" s="198">
        <v>0</v>
      </c>
      <c r="J463" s="198">
        <v>0</v>
      </c>
      <c r="K463" s="198">
        <v>0</v>
      </c>
      <c r="M463" s="144" t="str">
        <f t="shared" si="48"/>
        <v/>
      </c>
      <c r="N463" s="144" t="str">
        <f t="shared" si="49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46"/>
        <v/>
      </c>
      <c r="E464" s="154"/>
      <c r="F464" s="149" t="str">
        <f t="shared" si="45"/>
        <v/>
      </c>
      <c r="G464" s="201"/>
      <c r="H464" s="149" t="str">
        <f t="shared" si="47"/>
        <v/>
      </c>
      <c r="I464" s="198">
        <v>0</v>
      </c>
      <c r="J464" s="198">
        <v>0</v>
      </c>
      <c r="K464" s="198">
        <v>0</v>
      </c>
      <c r="M464" s="144" t="str">
        <f t="shared" si="48"/>
        <v/>
      </c>
      <c r="N464" s="144" t="str">
        <f t="shared" si="49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46"/>
        <v/>
      </c>
      <c r="E465" s="154"/>
      <c r="F465" s="149" t="str">
        <f t="shared" si="45"/>
        <v/>
      </c>
      <c r="G465" s="201"/>
      <c r="H465" s="149" t="str">
        <f t="shared" si="47"/>
        <v/>
      </c>
      <c r="I465" s="198">
        <v>0</v>
      </c>
      <c r="J465" s="198">
        <v>0</v>
      </c>
      <c r="K465" s="198">
        <v>0</v>
      </c>
      <c r="M465" s="144" t="str">
        <f t="shared" si="48"/>
        <v/>
      </c>
      <c r="N465" s="144" t="str">
        <f t="shared" si="49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46"/>
        <v/>
      </c>
      <c r="E466" s="154"/>
      <c r="F466" s="149" t="str">
        <f t="shared" si="45"/>
        <v/>
      </c>
      <c r="G466" s="201"/>
      <c r="H466" s="149" t="str">
        <f t="shared" si="47"/>
        <v/>
      </c>
      <c r="I466" s="198">
        <v>0</v>
      </c>
      <c r="J466" s="198">
        <v>0</v>
      </c>
      <c r="K466" s="198">
        <v>0</v>
      </c>
      <c r="M466" s="144" t="str">
        <f t="shared" si="48"/>
        <v/>
      </c>
      <c r="N466" s="144" t="str">
        <f t="shared" si="49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46"/>
        <v/>
      </c>
      <c r="E467" s="154"/>
      <c r="F467" s="149" t="str">
        <f t="shared" si="45"/>
        <v/>
      </c>
      <c r="G467" s="201"/>
      <c r="H467" s="149" t="str">
        <f t="shared" si="47"/>
        <v/>
      </c>
      <c r="I467" s="198">
        <v>0</v>
      </c>
      <c r="J467" s="198">
        <v>0</v>
      </c>
      <c r="K467" s="198">
        <v>0</v>
      </c>
      <c r="M467" s="144" t="str">
        <f t="shared" si="48"/>
        <v/>
      </c>
      <c r="N467" s="144" t="str">
        <f t="shared" si="49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46"/>
        <v/>
      </c>
      <c r="E468" s="154"/>
      <c r="F468" s="149" t="str">
        <f t="shared" si="45"/>
        <v/>
      </c>
      <c r="G468" s="201"/>
      <c r="H468" s="149" t="str">
        <f t="shared" si="47"/>
        <v/>
      </c>
      <c r="I468" s="198">
        <v>0</v>
      </c>
      <c r="J468" s="198">
        <v>0</v>
      </c>
      <c r="K468" s="198">
        <v>0</v>
      </c>
      <c r="M468" s="144" t="str">
        <f t="shared" si="48"/>
        <v/>
      </c>
      <c r="N468" s="144" t="str">
        <f t="shared" si="49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46"/>
        <v/>
      </c>
      <c r="E469" s="154"/>
      <c r="F469" s="149" t="str">
        <f t="shared" si="45"/>
        <v/>
      </c>
      <c r="G469" s="201"/>
      <c r="H469" s="149" t="str">
        <f t="shared" si="47"/>
        <v/>
      </c>
      <c r="I469" s="198">
        <v>0</v>
      </c>
      <c r="J469" s="198">
        <v>0</v>
      </c>
      <c r="K469" s="198">
        <v>0</v>
      </c>
      <c r="M469" s="144" t="str">
        <f t="shared" si="48"/>
        <v/>
      </c>
      <c r="N469" s="144" t="str">
        <f t="shared" si="49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46"/>
        <v/>
      </c>
      <c r="E470" s="154"/>
      <c r="F470" s="149" t="str">
        <f t="shared" si="45"/>
        <v/>
      </c>
      <c r="G470" s="201"/>
      <c r="H470" s="149" t="str">
        <f t="shared" si="47"/>
        <v/>
      </c>
      <c r="I470" s="198">
        <v>0</v>
      </c>
      <c r="J470" s="198">
        <v>0</v>
      </c>
      <c r="K470" s="198">
        <v>0</v>
      </c>
      <c r="M470" s="144" t="str">
        <f t="shared" si="48"/>
        <v/>
      </c>
      <c r="N470" s="144" t="str">
        <f t="shared" si="49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46"/>
        <v/>
      </c>
      <c r="E471" s="154"/>
      <c r="F471" s="149" t="str">
        <f t="shared" si="45"/>
        <v/>
      </c>
      <c r="G471" s="201"/>
      <c r="H471" s="149" t="str">
        <f t="shared" si="47"/>
        <v/>
      </c>
      <c r="I471" s="198">
        <v>0</v>
      </c>
      <c r="J471" s="198">
        <v>0</v>
      </c>
      <c r="K471" s="198">
        <v>0</v>
      </c>
      <c r="M471" s="144" t="str">
        <f t="shared" si="48"/>
        <v/>
      </c>
      <c r="N471" s="144" t="str">
        <f t="shared" si="49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46"/>
        <v/>
      </c>
      <c r="E472" s="154"/>
      <c r="F472" s="149" t="str">
        <f t="shared" si="45"/>
        <v/>
      </c>
      <c r="G472" s="201"/>
      <c r="H472" s="149" t="str">
        <f t="shared" si="47"/>
        <v/>
      </c>
      <c r="I472" s="198">
        <v>0</v>
      </c>
      <c r="J472" s="198">
        <v>0</v>
      </c>
      <c r="K472" s="198">
        <v>0</v>
      </c>
      <c r="M472" s="144" t="str">
        <f t="shared" si="48"/>
        <v/>
      </c>
      <c r="N472" s="144" t="str">
        <f t="shared" si="49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46"/>
        <v/>
      </c>
      <c r="E473" s="154"/>
      <c r="F473" s="149" t="str">
        <f t="shared" si="45"/>
        <v/>
      </c>
      <c r="G473" s="201"/>
      <c r="H473" s="149" t="str">
        <f t="shared" si="47"/>
        <v/>
      </c>
      <c r="I473" s="198">
        <v>0</v>
      </c>
      <c r="J473" s="198">
        <v>0</v>
      </c>
      <c r="K473" s="198">
        <v>0</v>
      </c>
      <c r="M473" s="144" t="str">
        <f t="shared" si="48"/>
        <v/>
      </c>
      <c r="N473" s="144" t="str">
        <f t="shared" si="49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46"/>
        <v/>
      </c>
      <c r="E474" s="154"/>
      <c r="F474" s="149" t="str">
        <f t="shared" si="45"/>
        <v/>
      </c>
      <c r="G474" s="201"/>
      <c r="H474" s="149" t="str">
        <f t="shared" si="47"/>
        <v/>
      </c>
      <c r="I474" s="198">
        <v>0</v>
      </c>
      <c r="J474" s="198">
        <v>0</v>
      </c>
      <c r="K474" s="198">
        <v>0</v>
      </c>
      <c r="M474" s="144" t="str">
        <f t="shared" si="48"/>
        <v/>
      </c>
      <c r="N474" s="144" t="str">
        <f t="shared" si="49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46"/>
        <v/>
      </c>
      <c r="E475" s="154"/>
      <c r="F475" s="149" t="str">
        <f t="shared" si="45"/>
        <v/>
      </c>
      <c r="G475" s="201"/>
      <c r="H475" s="149" t="str">
        <f t="shared" si="47"/>
        <v/>
      </c>
      <c r="I475" s="198">
        <v>0</v>
      </c>
      <c r="J475" s="198">
        <v>0</v>
      </c>
      <c r="K475" s="198">
        <v>0</v>
      </c>
      <c r="M475" s="144" t="str">
        <f t="shared" si="48"/>
        <v/>
      </c>
      <c r="N475" s="144" t="str">
        <f t="shared" si="49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46"/>
        <v/>
      </c>
      <c r="E476" s="154"/>
      <c r="F476" s="149" t="str">
        <f t="shared" si="45"/>
        <v/>
      </c>
      <c r="G476" s="201"/>
      <c r="H476" s="149" t="str">
        <f t="shared" si="47"/>
        <v/>
      </c>
      <c r="I476" s="198">
        <v>0</v>
      </c>
      <c r="J476" s="198">
        <v>0</v>
      </c>
      <c r="K476" s="198">
        <v>0</v>
      </c>
      <c r="M476" s="144" t="str">
        <f t="shared" si="48"/>
        <v/>
      </c>
      <c r="N476" s="144" t="str">
        <f t="shared" si="49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46"/>
        <v/>
      </c>
      <c r="E477" s="154"/>
      <c r="F477" s="149" t="str">
        <f t="shared" si="45"/>
        <v/>
      </c>
      <c r="G477" s="201"/>
      <c r="H477" s="149" t="str">
        <f t="shared" si="47"/>
        <v/>
      </c>
      <c r="I477" s="198">
        <v>0</v>
      </c>
      <c r="J477" s="198">
        <v>0</v>
      </c>
      <c r="K477" s="198">
        <v>0</v>
      </c>
      <c r="M477" s="144" t="str">
        <f t="shared" si="48"/>
        <v/>
      </c>
      <c r="N477" s="144" t="str">
        <f t="shared" si="49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46"/>
        <v/>
      </c>
      <c r="E478" s="154"/>
      <c r="F478" s="149" t="str">
        <f t="shared" si="45"/>
        <v/>
      </c>
      <c r="G478" s="201"/>
      <c r="H478" s="149" t="str">
        <f t="shared" si="47"/>
        <v/>
      </c>
      <c r="I478" s="198">
        <v>0</v>
      </c>
      <c r="J478" s="198">
        <v>0</v>
      </c>
      <c r="K478" s="198">
        <v>0</v>
      </c>
      <c r="M478" s="144" t="str">
        <f t="shared" si="48"/>
        <v/>
      </c>
      <c r="N478" s="144" t="str">
        <f t="shared" si="49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46"/>
        <v/>
      </c>
      <c r="E479" s="154"/>
      <c r="F479" s="149" t="str">
        <f t="shared" si="45"/>
        <v/>
      </c>
      <c r="G479" s="201"/>
      <c r="H479" s="149" t="str">
        <f t="shared" si="47"/>
        <v/>
      </c>
      <c r="I479" s="198">
        <v>0</v>
      </c>
      <c r="J479" s="198">
        <v>0</v>
      </c>
      <c r="K479" s="198">
        <v>0</v>
      </c>
      <c r="M479" s="144" t="str">
        <f t="shared" si="48"/>
        <v/>
      </c>
      <c r="N479" s="144" t="str">
        <f t="shared" si="49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46"/>
        <v/>
      </c>
      <c r="E480" s="154"/>
      <c r="F480" s="149" t="str">
        <f t="shared" si="45"/>
        <v/>
      </c>
      <c r="G480" s="201"/>
      <c r="H480" s="149" t="str">
        <f t="shared" si="47"/>
        <v/>
      </c>
      <c r="I480" s="198">
        <v>0</v>
      </c>
      <c r="J480" s="198">
        <v>0</v>
      </c>
      <c r="K480" s="198">
        <v>0</v>
      </c>
      <c r="M480" s="144" t="str">
        <f t="shared" si="48"/>
        <v/>
      </c>
      <c r="N480" s="144" t="str">
        <f t="shared" si="49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46"/>
        <v/>
      </c>
      <c r="E481" s="154"/>
      <c r="F481" s="149" t="str">
        <f t="shared" si="45"/>
        <v/>
      </c>
      <c r="G481" s="201"/>
      <c r="H481" s="149" t="str">
        <f t="shared" si="47"/>
        <v/>
      </c>
      <c r="I481" s="198">
        <v>0</v>
      </c>
      <c r="J481" s="198">
        <v>0</v>
      </c>
      <c r="K481" s="198">
        <v>0</v>
      </c>
      <c r="M481" s="144" t="str">
        <f t="shared" si="48"/>
        <v/>
      </c>
      <c r="N481" s="144" t="str">
        <f t="shared" si="49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46"/>
        <v/>
      </c>
      <c r="E482" s="154"/>
      <c r="F482" s="149" t="str">
        <f t="shared" si="45"/>
        <v/>
      </c>
      <c r="G482" s="201"/>
      <c r="H482" s="149" t="str">
        <f t="shared" si="47"/>
        <v/>
      </c>
      <c r="I482" s="198">
        <v>0</v>
      </c>
      <c r="J482" s="198">
        <v>0</v>
      </c>
      <c r="K482" s="198">
        <v>0</v>
      </c>
      <c r="M482" s="144" t="str">
        <f t="shared" si="48"/>
        <v/>
      </c>
      <c r="N482" s="144" t="str">
        <f t="shared" si="49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46"/>
        <v/>
      </c>
      <c r="E483" s="154"/>
      <c r="F483" s="149" t="str">
        <f t="shared" si="45"/>
        <v/>
      </c>
      <c r="G483" s="201"/>
      <c r="H483" s="149" t="str">
        <f t="shared" si="47"/>
        <v/>
      </c>
      <c r="I483" s="198">
        <v>0</v>
      </c>
      <c r="J483" s="198">
        <v>0</v>
      </c>
      <c r="K483" s="198">
        <v>0</v>
      </c>
      <c r="M483" s="144" t="str">
        <f t="shared" si="48"/>
        <v/>
      </c>
      <c r="N483" s="144" t="str">
        <f t="shared" si="49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46"/>
        <v/>
      </c>
      <c r="E484" s="154"/>
      <c r="F484" s="149" t="str">
        <f t="shared" si="45"/>
        <v/>
      </c>
      <c r="G484" s="201"/>
      <c r="H484" s="149" t="str">
        <f t="shared" si="47"/>
        <v/>
      </c>
      <c r="I484" s="198">
        <v>0</v>
      </c>
      <c r="J484" s="198">
        <v>0</v>
      </c>
      <c r="K484" s="198">
        <v>0</v>
      </c>
      <c r="M484" s="144" t="str">
        <f t="shared" si="48"/>
        <v/>
      </c>
      <c r="N484" s="144" t="str">
        <f t="shared" si="49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46"/>
        <v/>
      </c>
      <c r="E485" s="154"/>
      <c r="F485" s="149" t="str">
        <f t="shared" si="45"/>
        <v/>
      </c>
      <c r="G485" s="201"/>
      <c r="H485" s="149" t="str">
        <f t="shared" si="47"/>
        <v/>
      </c>
      <c r="I485" s="198">
        <v>0</v>
      </c>
      <c r="J485" s="198">
        <v>0</v>
      </c>
      <c r="K485" s="198">
        <v>0</v>
      </c>
      <c r="M485" s="144" t="str">
        <f t="shared" si="48"/>
        <v/>
      </c>
      <c r="N485" s="144" t="str">
        <f t="shared" si="49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46"/>
        <v/>
      </c>
      <c r="E486" s="154"/>
      <c r="F486" s="149" t="str">
        <f t="shared" si="45"/>
        <v/>
      </c>
      <c r="G486" s="201"/>
      <c r="H486" s="149" t="str">
        <f t="shared" si="47"/>
        <v/>
      </c>
      <c r="I486" s="198">
        <v>0</v>
      </c>
      <c r="J486" s="198">
        <v>0</v>
      </c>
      <c r="K486" s="198">
        <v>0</v>
      </c>
      <c r="M486" s="144" t="str">
        <f t="shared" si="48"/>
        <v/>
      </c>
      <c r="N486" s="144" t="str">
        <f t="shared" si="49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46"/>
        <v/>
      </c>
      <c r="E487" s="154"/>
      <c r="F487" s="149" t="str">
        <f t="shared" si="45"/>
        <v/>
      </c>
      <c r="G487" s="201"/>
      <c r="H487" s="149" t="str">
        <f t="shared" si="47"/>
        <v/>
      </c>
      <c r="I487" s="198">
        <v>0</v>
      </c>
      <c r="J487" s="198">
        <v>0</v>
      </c>
      <c r="K487" s="198">
        <v>0</v>
      </c>
      <c r="M487" s="144" t="str">
        <f t="shared" si="48"/>
        <v/>
      </c>
      <c r="N487" s="144" t="str">
        <f t="shared" si="49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46"/>
        <v/>
      </c>
      <c r="E488" s="154"/>
      <c r="F488" s="149" t="str">
        <f t="shared" si="45"/>
        <v/>
      </c>
      <c r="G488" s="201"/>
      <c r="H488" s="149" t="str">
        <f t="shared" si="47"/>
        <v/>
      </c>
      <c r="I488" s="198">
        <v>0</v>
      </c>
      <c r="J488" s="198">
        <v>0</v>
      </c>
      <c r="K488" s="198">
        <v>0</v>
      </c>
      <c r="M488" s="144" t="str">
        <f t="shared" si="48"/>
        <v/>
      </c>
      <c r="N488" s="144" t="str">
        <f t="shared" si="49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46"/>
        <v/>
      </c>
      <c r="E489" s="154"/>
      <c r="F489" s="149" t="str">
        <f t="shared" si="45"/>
        <v/>
      </c>
      <c r="G489" s="201"/>
      <c r="H489" s="149" t="str">
        <f t="shared" si="47"/>
        <v/>
      </c>
      <c r="I489" s="198">
        <v>0</v>
      </c>
      <c r="J489" s="198">
        <v>0</v>
      </c>
      <c r="K489" s="198">
        <v>0</v>
      </c>
      <c r="M489" s="144" t="str">
        <f t="shared" si="48"/>
        <v/>
      </c>
      <c r="N489" s="144" t="str">
        <f t="shared" si="49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46"/>
        <v/>
      </c>
      <c r="E490" s="154"/>
      <c r="F490" s="149" t="str">
        <f t="shared" si="45"/>
        <v/>
      </c>
      <c r="G490" s="201"/>
      <c r="H490" s="149" t="str">
        <f t="shared" si="47"/>
        <v/>
      </c>
      <c r="I490" s="198">
        <v>0</v>
      </c>
      <c r="J490" s="198">
        <v>0</v>
      </c>
      <c r="K490" s="198">
        <v>0</v>
      </c>
      <c r="M490" s="144" t="str">
        <f t="shared" si="48"/>
        <v/>
      </c>
      <c r="N490" s="144" t="str">
        <f t="shared" si="49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46"/>
        <v/>
      </c>
      <c r="E491" s="154"/>
      <c r="F491" s="149" t="str">
        <f t="shared" si="45"/>
        <v/>
      </c>
      <c r="G491" s="201"/>
      <c r="H491" s="149" t="str">
        <f t="shared" si="47"/>
        <v/>
      </c>
      <c r="I491" s="198">
        <v>0</v>
      </c>
      <c r="J491" s="198">
        <v>0</v>
      </c>
      <c r="K491" s="198">
        <v>0</v>
      </c>
      <c r="M491" s="144" t="str">
        <f t="shared" si="48"/>
        <v/>
      </c>
      <c r="N491" s="144" t="str">
        <f t="shared" si="49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46"/>
        <v/>
      </c>
      <c r="E492" s="154"/>
      <c r="F492" s="149" t="str">
        <f t="shared" si="45"/>
        <v/>
      </c>
      <c r="G492" s="201"/>
      <c r="H492" s="149" t="str">
        <f t="shared" si="47"/>
        <v/>
      </c>
      <c r="I492" s="198">
        <v>0</v>
      </c>
      <c r="J492" s="198">
        <v>0</v>
      </c>
      <c r="K492" s="198">
        <v>0</v>
      </c>
      <c r="M492" s="144" t="str">
        <f t="shared" si="48"/>
        <v/>
      </c>
      <c r="N492" s="144" t="str">
        <f t="shared" si="49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46"/>
        <v/>
      </c>
      <c r="E493" s="154"/>
      <c r="F493" s="149" t="str">
        <f t="shared" si="45"/>
        <v/>
      </c>
      <c r="G493" s="201"/>
      <c r="H493" s="149" t="str">
        <f t="shared" si="47"/>
        <v/>
      </c>
      <c r="I493" s="198">
        <v>0</v>
      </c>
      <c r="J493" s="198">
        <v>0</v>
      </c>
      <c r="K493" s="198">
        <v>0</v>
      </c>
      <c r="M493" s="144" t="str">
        <f t="shared" si="48"/>
        <v/>
      </c>
      <c r="N493" s="144" t="str">
        <f t="shared" si="49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46"/>
        <v/>
      </c>
      <c r="E494" s="154"/>
      <c r="F494" s="149" t="str">
        <f t="shared" si="45"/>
        <v/>
      </c>
      <c r="G494" s="201"/>
      <c r="H494" s="149" t="str">
        <f t="shared" si="47"/>
        <v/>
      </c>
      <c r="I494" s="198">
        <v>0</v>
      </c>
      <c r="J494" s="198">
        <v>0</v>
      </c>
      <c r="K494" s="198">
        <v>0</v>
      </c>
      <c r="M494" s="144" t="str">
        <f t="shared" si="48"/>
        <v/>
      </c>
      <c r="N494" s="144" t="str">
        <f t="shared" si="49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46"/>
        <v/>
      </c>
      <c r="E495" s="154"/>
      <c r="F495" s="149" t="str">
        <f t="shared" si="45"/>
        <v/>
      </c>
      <c r="G495" s="201"/>
      <c r="H495" s="149" t="str">
        <f t="shared" si="47"/>
        <v/>
      </c>
      <c r="I495" s="198">
        <v>0</v>
      </c>
      <c r="J495" s="198">
        <v>0</v>
      </c>
      <c r="K495" s="198">
        <v>0</v>
      </c>
      <c r="M495" s="144" t="str">
        <f t="shared" si="48"/>
        <v/>
      </c>
      <c r="N495" s="144" t="str">
        <f t="shared" si="49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46"/>
        <v/>
      </c>
      <c r="E496" s="154"/>
      <c r="F496" s="149" t="str">
        <f t="shared" si="45"/>
        <v/>
      </c>
      <c r="G496" s="201"/>
      <c r="H496" s="149" t="str">
        <f t="shared" si="47"/>
        <v/>
      </c>
      <c r="I496" s="198">
        <v>0</v>
      </c>
      <c r="J496" s="198">
        <v>0</v>
      </c>
      <c r="K496" s="198">
        <v>0</v>
      </c>
      <c r="M496" s="144" t="str">
        <f t="shared" si="48"/>
        <v/>
      </c>
      <c r="N496" s="144" t="str">
        <f t="shared" si="49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46"/>
        <v/>
      </c>
      <c r="E497" s="154"/>
      <c r="F497" s="149" t="str">
        <f t="shared" si="45"/>
        <v/>
      </c>
      <c r="G497" s="201"/>
      <c r="H497" s="149" t="str">
        <f t="shared" si="47"/>
        <v/>
      </c>
      <c r="I497" s="198">
        <v>0</v>
      </c>
      <c r="J497" s="198">
        <v>0</v>
      </c>
      <c r="K497" s="198">
        <v>0</v>
      </c>
      <c r="M497" s="144" t="str">
        <f t="shared" si="48"/>
        <v/>
      </c>
      <c r="N497" s="144" t="str">
        <f t="shared" si="49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46"/>
        <v/>
      </c>
      <c r="E498" s="154"/>
      <c r="F498" s="149" t="str">
        <f t="shared" si="45"/>
        <v/>
      </c>
      <c r="G498" s="201"/>
      <c r="H498" s="149" t="str">
        <f t="shared" si="47"/>
        <v/>
      </c>
      <c r="I498" s="198">
        <v>0</v>
      </c>
      <c r="J498" s="198">
        <v>0</v>
      </c>
      <c r="K498" s="198">
        <v>0</v>
      </c>
      <c r="M498" s="144" t="str">
        <f t="shared" si="48"/>
        <v/>
      </c>
      <c r="N498" s="144" t="str">
        <f t="shared" si="49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46"/>
        <v/>
      </c>
      <c r="E499" s="154"/>
      <c r="F499" s="149" t="str">
        <f t="shared" si="45"/>
        <v/>
      </c>
      <c r="G499" s="201"/>
      <c r="H499" s="149" t="str">
        <f t="shared" si="47"/>
        <v/>
      </c>
      <c r="I499" s="198">
        <v>0</v>
      </c>
      <c r="J499" s="198">
        <v>0</v>
      </c>
      <c r="K499" s="198">
        <v>0</v>
      </c>
      <c r="M499" s="144" t="str">
        <f t="shared" si="48"/>
        <v/>
      </c>
      <c r="N499" s="144" t="str">
        <f t="shared" si="49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46"/>
        <v/>
      </c>
      <c r="E500" s="154"/>
      <c r="F500" s="149" t="str">
        <f t="shared" si="45"/>
        <v/>
      </c>
      <c r="G500" s="201"/>
      <c r="H500" s="149" t="str">
        <f t="shared" si="47"/>
        <v/>
      </c>
      <c r="I500" s="198">
        <v>0</v>
      </c>
      <c r="J500" s="198">
        <v>0</v>
      </c>
      <c r="K500" s="198">
        <v>0</v>
      </c>
      <c r="M500" s="144" t="str">
        <f t="shared" si="48"/>
        <v/>
      </c>
      <c r="N500" s="144" t="str">
        <f t="shared" si="49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46"/>
        <v/>
      </c>
      <c r="E501" s="154"/>
      <c r="F501" s="149" t="str">
        <f t="shared" si="45"/>
        <v/>
      </c>
      <c r="G501" s="201"/>
      <c r="H501" s="149" t="str">
        <f t="shared" si="47"/>
        <v/>
      </c>
      <c r="I501" s="198">
        <v>0</v>
      </c>
      <c r="J501" s="198">
        <v>0</v>
      </c>
      <c r="K501" s="198">
        <v>0</v>
      </c>
      <c r="M501" s="144" t="str">
        <f t="shared" si="48"/>
        <v/>
      </c>
      <c r="N501" s="144" t="str">
        <f t="shared" si="49"/>
        <v/>
      </c>
    </row>
    <row r="502" spans="1:14"/>
  </sheetData>
  <sheetProtection selectLockedCells="1"/>
  <autoFilter ref="A2:Y501"/>
  <sortState ref="R5:U118">
    <sortCondition ref="R5"/>
  </sortState>
  <mergeCells count="1">
    <mergeCell ref="A1:D1"/>
  </mergeCells>
  <dataValidations xWindow="508" yWindow="758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66" activePane="bottomLeft" state="frozen"/>
      <selection pane="bottomLeft" activeCell="E5" sqref="E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3" t="s">
        <v>289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290</v>
      </c>
    </row>
    <row r="3" spans="1:22" s="91" customFormat="1" ht="15.6" customHeight="1">
      <c r="A3" s="264" t="s">
        <v>291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292</v>
      </c>
      <c r="B4" s="93" t="s">
        <v>293</v>
      </c>
      <c r="C4" s="197" t="s">
        <v>294</v>
      </c>
      <c r="D4" s="137" t="s">
        <v>375</v>
      </c>
      <c r="E4" s="137" t="s">
        <v>347</v>
      </c>
      <c r="F4" s="94" t="s">
        <v>19</v>
      </c>
      <c r="G4" s="94" t="s">
        <v>20</v>
      </c>
      <c r="H4" s="94" t="s">
        <v>295</v>
      </c>
      <c r="I4" s="94" t="s">
        <v>296</v>
      </c>
      <c r="J4" s="94" t="s">
        <v>297</v>
      </c>
      <c r="K4" s="136" t="s">
        <v>298</v>
      </c>
      <c r="L4" s="136" t="s">
        <v>299</v>
      </c>
      <c r="M4" s="94" t="s">
        <v>300</v>
      </c>
      <c r="N4" s="94" t="s">
        <v>301</v>
      </c>
      <c r="O4" s="94" t="s">
        <v>339</v>
      </c>
      <c r="P4" s="94" t="s">
        <v>1661</v>
      </c>
    </row>
    <row r="5" spans="1:22" s="91" customFormat="1" ht="19.5" customHeight="1">
      <c r="A5" s="96"/>
      <c r="B5" s="97" t="s">
        <v>11</v>
      </c>
      <c r="C5" s="71">
        <f t="shared" ref="C5:C11" si="0">SUM(D5:P5)</f>
        <v>2182125</v>
      </c>
      <c r="D5" s="3">
        <v>385800</v>
      </c>
      <c r="E5" s="3">
        <v>0</v>
      </c>
      <c r="F5" s="3">
        <v>903800</v>
      </c>
      <c r="G5" s="3">
        <v>412200</v>
      </c>
      <c r="H5" s="3">
        <v>56200</v>
      </c>
      <c r="I5" s="3">
        <v>402200</v>
      </c>
      <c r="J5" s="3">
        <v>0</v>
      </c>
      <c r="K5" s="3">
        <v>0</v>
      </c>
      <c r="L5" s="3">
        <v>0</v>
      </c>
      <c r="M5" s="3">
        <v>20000</v>
      </c>
      <c r="N5" s="3">
        <v>0</v>
      </c>
      <c r="O5" s="3">
        <v>1925</v>
      </c>
      <c r="P5" s="3">
        <v>0</v>
      </c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371</v>
      </c>
      <c r="C6" s="71">
        <f t="shared" si="0"/>
        <v>71510082</v>
      </c>
      <c r="D6" s="15">
        <f t="shared" ref="D6:P6" si="1">+D26+D33</f>
        <v>47605382</v>
      </c>
      <c r="E6" s="15">
        <f t="shared" si="1"/>
        <v>504282</v>
      </c>
      <c r="F6" s="15">
        <f t="shared" si="1"/>
        <v>8333400</v>
      </c>
      <c r="G6" s="15">
        <f t="shared" si="1"/>
        <v>6514700</v>
      </c>
      <c r="H6" s="15">
        <f t="shared" si="1"/>
        <v>99900</v>
      </c>
      <c r="I6" s="15">
        <f t="shared" si="1"/>
        <v>5307602</v>
      </c>
      <c r="J6" s="15">
        <f t="shared" si="1"/>
        <v>0</v>
      </c>
      <c r="K6" s="15">
        <f t="shared" si="1"/>
        <v>1214430</v>
      </c>
      <c r="L6" s="15">
        <f t="shared" si="1"/>
        <v>1814886</v>
      </c>
      <c r="M6" s="15">
        <f t="shared" si="1"/>
        <v>110000</v>
      </c>
      <c r="N6" s="15">
        <f t="shared" si="1"/>
        <v>0</v>
      </c>
      <c r="O6" s="15">
        <f t="shared" si="1"/>
        <v>5500</v>
      </c>
      <c r="P6" s="15">
        <f t="shared" si="1"/>
        <v>0</v>
      </c>
    </row>
    <row r="7" spans="1:22" s="91" customFormat="1" ht="21.75" customHeight="1">
      <c r="A7" s="96"/>
      <c r="B7" s="97" t="s">
        <v>374</v>
      </c>
      <c r="C7" s="71">
        <f t="shared" si="0"/>
        <v>-2182125</v>
      </c>
      <c r="D7" s="115">
        <v>-385800</v>
      </c>
      <c r="E7" s="115">
        <v>0</v>
      </c>
      <c r="F7" s="115">
        <v>-1042800</v>
      </c>
      <c r="G7" s="115">
        <v>-321800</v>
      </c>
      <c r="H7" s="115">
        <v>-73700</v>
      </c>
      <c r="I7" s="115">
        <v>-336100</v>
      </c>
      <c r="J7" s="3">
        <v>0</v>
      </c>
      <c r="K7" s="115">
        <v>0</v>
      </c>
      <c r="L7" s="115">
        <v>0</v>
      </c>
      <c r="M7" s="115">
        <v>-20000</v>
      </c>
      <c r="N7" s="115">
        <v>0</v>
      </c>
      <c r="O7" s="115">
        <v>-1925</v>
      </c>
      <c r="P7" s="115">
        <v>0</v>
      </c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302</v>
      </c>
      <c r="C8" s="71">
        <f t="shared" si="0"/>
        <v>71510082</v>
      </c>
      <c r="D8" s="15">
        <f>+D5+D6+D7</f>
        <v>47605382</v>
      </c>
      <c r="E8" s="15">
        <f t="shared" ref="E8:P8" si="2">+E5+E6+E7</f>
        <v>504282</v>
      </c>
      <c r="F8" s="15">
        <f t="shared" si="2"/>
        <v>8194400</v>
      </c>
      <c r="G8" s="15">
        <f t="shared" si="2"/>
        <v>6605100</v>
      </c>
      <c r="H8" s="15">
        <f t="shared" si="2"/>
        <v>82400</v>
      </c>
      <c r="I8" s="15">
        <f t="shared" si="2"/>
        <v>5373702</v>
      </c>
      <c r="J8" s="15">
        <f t="shared" si="2"/>
        <v>0</v>
      </c>
      <c r="K8" s="15">
        <f t="shared" si="2"/>
        <v>1214430</v>
      </c>
      <c r="L8" s="15">
        <f t="shared" si="2"/>
        <v>1814886</v>
      </c>
      <c r="M8" s="15">
        <f t="shared" si="2"/>
        <v>110000</v>
      </c>
      <c r="N8" s="15">
        <f t="shared" si="2"/>
        <v>0</v>
      </c>
      <c r="O8" s="15">
        <f t="shared" si="2"/>
        <v>5500</v>
      </c>
      <c r="P8" s="15">
        <f t="shared" si="2"/>
        <v>0</v>
      </c>
    </row>
    <row r="9" spans="1:22" s="91" customFormat="1">
      <c r="A9" s="113"/>
      <c r="B9" s="114" t="s">
        <v>249</v>
      </c>
      <c r="C9" s="71">
        <f t="shared" si="0"/>
        <v>71510081.936737269</v>
      </c>
      <c r="D9" s="138">
        <f>+'PLAN RASHODA I IZDATAKA'!D3</f>
        <v>47605381.936737269</v>
      </c>
      <c r="E9" s="138">
        <f>+'PLAN RASHODA I IZDATAKA'!E3</f>
        <v>504282</v>
      </c>
      <c r="F9" s="138">
        <f>+'PLAN RASHODA I IZDATAKA'!F3</f>
        <v>8194400</v>
      </c>
      <c r="G9" s="138">
        <f>+'PLAN RASHODA I IZDATAKA'!G3</f>
        <v>6605100</v>
      </c>
      <c r="H9" s="138">
        <f>+'PLAN RASHODA I IZDATAKA'!H3</f>
        <v>82400</v>
      </c>
      <c r="I9" s="138">
        <f>+'PLAN RASHODA I IZDATAKA'!I3</f>
        <v>5373702</v>
      </c>
      <c r="J9" s="138">
        <f>+'PLAN RASHODA I IZDATAKA'!J3</f>
        <v>0</v>
      </c>
      <c r="K9" s="138">
        <f>+'PLAN RASHODA I IZDATAKA'!K3</f>
        <v>1214430</v>
      </c>
      <c r="L9" s="138">
        <f>+'PLAN RASHODA I IZDATAKA'!L3</f>
        <v>1814886</v>
      </c>
      <c r="M9" s="138">
        <f>+'PLAN RASHODA I IZDATAKA'!M3</f>
        <v>110000</v>
      </c>
      <c r="N9" s="138">
        <f>+'PLAN RASHODA I IZDATAKA'!N3</f>
        <v>0</v>
      </c>
      <c r="O9" s="138">
        <f>+'PLAN RASHODA I IZDATAKA'!O3</f>
        <v>5500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373</v>
      </c>
      <c r="C10" s="70">
        <f t="shared" si="0"/>
        <v>6.3262730836868286E-2</v>
      </c>
      <c r="D10" s="120">
        <f>+D8-D9</f>
        <v>6.3262730836868286E-2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303</v>
      </c>
      <c r="B11" s="111" t="s">
        <v>304</v>
      </c>
      <c r="C11" s="112">
        <f t="shared" si="0"/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305</v>
      </c>
      <c r="B12" s="97" t="s">
        <v>306</v>
      </c>
      <c r="C12" s="71">
        <f t="shared" ref="C12:C34" si="4">SUM(D12:P12)</f>
        <v>3129216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99900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1214430</v>
      </c>
      <c r="L12" s="204">
        <f>SUMIFS('Plan prihoda za unos u SAP'!$G$3:$G$501,'Plan prihoda za unos u SAP'!$C$3:$C$501,"=563",'Plan prihoda za unos u SAP'!$K$3:$K$501,"=632")</f>
        <v>1814886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307</v>
      </c>
      <c r="B13" s="97" t="s">
        <v>308</v>
      </c>
      <c r="C13" s="71">
        <f t="shared" si="4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815</v>
      </c>
      <c r="B14" s="97" t="s">
        <v>816</v>
      </c>
      <c r="C14" s="71">
        <f t="shared" si="4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309</v>
      </c>
      <c r="B15" s="97" t="s">
        <v>310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311</v>
      </c>
      <c r="B16" s="97" t="s">
        <v>53</v>
      </c>
      <c r="C16" s="71">
        <f t="shared" si="4"/>
        <v>5307602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5307602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312</v>
      </c>
      <c r="B17" s="97" t="s">
        <v>313</v>
      </c>
      <c r="C17" s="71">
        <f t="shared" si="4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314</v>
      </c>
      <c r="B18" s="97" t="s">
        <v>315</v>
      </c>
      <c r="C18" s="71">
        <f t="shared" si="4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818</v>
      </c>
      <c r="B19" s="97" t="s">
        <v>817</v>
      </c>
      <c r="C19" s="71">
        <f t="shared" si="4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316</v>
      </c>
      <c r="B20" s="97" t="s">
        <v>317</v>
      </c>
      <c r="C20" s="71">
        <f t="shared" si="4"/>
        <v>6514700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6514700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318</v>
      </c>
      <c r="B21" s="97" t="s">
        <v>319</v>
      </c>
      <c r="C21" s="71">
        <f t="shared" si="4"/>
        <v>8333400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8333400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320</v>
      </c>
      <c r="B22" s="97" t="s">
        <v>321</v>
      </c>
      <c r="C22" s="71">
        <f t="shared" si="4"/>
        <v>110000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110000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322</v>
      </c>
      <c r="B23" s="97" t="s">
        <v>282</v>
      </c>
      <c r="C23" s="71">
        <f t="shared" si="4"/>
        <v>48109664</v>
      </c>
      <c r="D23" s="204">
        <f>SUMIFS('Plan prihoda za unos u SAP'!$G$3:$G$501,'Plan prihoda za unos u SAP'!$C$3:$C$501,"=11",'Plan prihoda za unos u SAP'!$K$3:$K$501,"=671")</f>
        <v>47605382</v>
      </c>
      <c r="E23" s="204">
        <f>SUMIFS('Plan prihoda za unos u SAP'!$G$3:$G$501,'Plan prihoda za unos u SAP'!$C$3:$C$501,"=12",'Plan prihoda za unos u SAP'!$K$3:$K$501,"=671")</f>
        <v>504282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323</v>
      </c>
      <c r="B24" s="97" t="s">
        <v>324</v>
      </c>
      <c r="C24" s="71">
        <f t="shared" si="4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325</v>
      </c>
      <c r="B25" s="97" t="s">
        <v>326</v>
      </c>
      <c r="C25" s="71">
        <f t="shared" si="4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327</v>
      </c>
      <c r="B26" s="100" t="s">
        <v>328</v>
      </c>
      <c r="C26" s="71">
        <f>SUM(D26:P26)</f>
        <v>71504582</v>
      </c>
      <c r="D26" s="4">
        <f t="shared" ref="D26:P26" si="5">SUM(D11:D25)</f>
        <v>47605382</v>
      </c>
      <c r="E26" s="4">
        <f t="shared" si="5"/>
        <v>504282</v>
      </c>
      <c r="F26" s="4">
        <f t="shared" si="5"/>
        <v>8333400</v>
      </c>
      <c r="G26" s="4">
        <f t="shared" si="5"/>
        <v>6514700</v>
      </c>
      <c r="H26" s="4">
        <f t="shared" si="5"/>
        <v>99900</v>
      </c>
      <c r="I26" s="4">
        <f t="shared" si="5"/>
        <v>5307602</v>
      </c>
      <c r="J26" s="4">
        <f t="shared" si="5"/>
        <v>0</v>
      </c>
      <c r="K26" s="4">
        <f t="shared" si="5"/>
        <v>1214430</v>
      </c>
      <c r="L26" s="4">
        <f t="shared" si="5"/>
        <v>1814886</v>
      </c>
      <c r="M26" s="4">
        <f t="shared" si="5"/>
        <v>110000</v>
      </c>
      <c r="N26" s="4">
        <f t="shared" si="5"/>
        <v>0</v>
      </c>
      <c r="O26" s="4">
        <f t="shared" si="5"/>
        <v>0</v>
      </c>
      <c r="P26" s="4">
        <f t="shared" si="5"/>
        <v>0</v>
      </c>
    </row>
    <row r="27" spans="1:16" s="91" customFormat="1">
      <c r="A27" s="96" t="s">
        <v>340</v>
      </c>
      <c r="B27" s="101" t="s">
        <v>341</v>
      </c>
      <c r="C27" s="71">
        <f t="shared" si="4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342</v>
      </c>
      <c r="B28" s="101" t="s">
        <v>343</v>
      </c>
      <c r="C28" s="71">
        <f t="shared" si="4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329</v>
      </c>
      <c r="B29" s="101" t="s">
        <v>330</v>
      </c>
      <c r="C29" s="71">
        <f t="shared" si="4"/>
        <v>5500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5500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331</v>
      </c>
      <c r="B30" s="101" t="s">
        <v>332</v>
      </c>
      <c r="C30" s="71">
        <f t="shared" si="4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333</v>
      </c>
      <c r="B31" s="101" t="s">
        <v>334</v>
      </c>
      <c r="C31" s="71">
        <f t="shared" si="4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344</v>
      </c>
      <c r="B32" s="101" t="s">
        <v>345</v>
      </c>
      <c r="C32" s="71">
        <f t="shared" si="4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335</v>
      </c>
      <c r="B33" s="100" t="s">
        <v>328</v>
      </c>
      <c r="C33" s="71">
        <f t="shared" si="4"/>
        <v>5500</v>
      </c>
      <c r="D33" s="4">
        <f t="shared" ref="D33:P33" si="6">SUM(D27:D32)</f>
        <v>0</v>
      </c>
      <c r="E33" s="4">
        <f t="shared" si="6"/>
        <v>0</v>
      </c>
      <c r="F33" s="4">
        <f t="shared" si="6"/>
        <v>0</v>
      </c>
      <c r="G33" s="4">
        <f t="shared" si="6"/>
        <v>0</v>
      </c>
      <c r="H33" s="4">
        <f t="shared" si="6"/>
        <v>0</v>
      </c>
      <c r="I33" s="4">
        <f t="shared" si="6"/>
        <v>0</v>
      </c>
      <c r="J33" s="4">
        <f t="shared" si="6"/>
        <v>0</v>
      </c>
      <c r="K33" s="4">
        <f t="shared" si="6"/>
        <v>0</v>
      </c>
      <c r="L33" s="4">
        <f t="shared" si="6"/>
        <v>0</v>
      </c>
      <c r="M33" s="4">
        <f t="shared" si="6"/>
        <v>0</v>
      </c>
      <c r="N33" s="4">
        <f t="shared" si="6"/>
        <v>0</v>
      </c>
      <c r="O33" s="4">
        <f t="shared" si="6"/>
        <v>5500</v>
      </c>
      <c r="P33" s="4">
        <f t="shared" si="6"/>
        <v>0</v>
      </c>
    </row>
    <row r="34" spans="1:22" s="91" customFormat="1" ht="25.5">
      <c r="A34" s="102">
        <v>812</v>
      </c>
      <c r="B34" s="103" t="s">
        <v>336</v>
      </c>
      <c r="C34" s="71">
        <f t="shared" si="4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346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337</v>
      </c>
      <c r="B36" s="100" t="s">
        <v>328</v>
      </c>
      <c r="C36" s="71">
        <f>SUM(D36:P36)</f>
        <v>0</v>
      </c>
      <c r="D36" s="4">
        <f t="shared" ref="D36:P36" si="7">SUM(D34:D35)</f>
        <v>0</v>
      </c>
      <c r="E36" s="4">
        <f t="shared" si="7"/>
        <v>0</v>
      </c>
      <c r="F36" s="4">
        <f t="shared" si="7"/>
        <v>0</v>
      </c>
      <c r="G36" s="4">
        <f t="shared" si="7"/>
        <v>0</v>
      </c>
      <c r="H36" s="4">
        <f t="shared" si="7"/>
        <v>0</v>
      </c>
      <c r="I36" s="4">
        <f t="shared" si="7"/>
        <v>0</v>
      </c>
      <c r="J36" s="4">
        <f t="shared" si="7"/>
        <v>0</v>
      </c>
      <c r="K36" s="4">
        <f t="shared" si="7"/>
        <v>0</v>
      </c>
      <c r="L36" s="4">
        <f t="shared" si="7"/>
        <v>0</v>
      </c>
      <c r="M36" s="4">
        <f t="shared" si="7"/>
        <v>0</v>
      </c>
      <c r="N36" s="4">
        <f t="shared" si="7"/>
        <v>0</v>
      </c>
      <c r="O36" s="4">
        <f t="shared" si="7"/>
        <v>0</v>
      </c>
      <c r="P36" s="4">
        <f t="shared" si="7"/>
        <v>0</v>
      </c>
    </row>
    <row r="37" spans="1:22" s="91" customFormat="1">
      <c r="A37" s="269" t="s">
        <v>338</v>
      </c>
      <c r="B37" s="269"/>
      <c r="C37" s="72">
        <f>SUM(D37:P37)</f>
        <v>71510082</v>
      </c>
      <c r="D37" s="72">
        <f t="shared" ref="D37:P37" si="8">+D36+D33+D26</f>
        <v>47605382</v>
      </c>
      <c r="E37" s="72">
        <f t="shared" si="8"/>
        <v>504282</v>
      </c>
      <c r="F37" s="72">
        <f t="shared" si="8"/>
        <v>8333400</v>
      </c>
      <c r="G37" s="72">
        <f t="shared" si="8"/>
        <v>6514700</v>
      </c>
      <c r="H37" s="72">
        <f t="shared" si="8"/>
        <v>99900</v>
      </c>
      <c r="I37" s="72">
        <f t="shared" si="8"/>
        <v>5307602</v>
      </c>
      <c r="J37" s="72">
        <f t="shared" si="8"/>
        <v>0</v>
      </c>
      <c r="K37" s="72">
        <f t="shared" si="8"/>
        <v>1214430</v>
      </c>
      <c r="L37" s="72">
        <f t="shared" si="8"/>
        <v>1814886</v>
      </c>
      <c r="M37" s="72">
        <f t="shared" si="8"/>
        <v>110000</v>
      </c>
      <c r="N37" s="72">
        <f t="shared" si="8"/>
        <v>0</v>
      </c>
      <c r="O37" s="72">
        <f t="shared" si="8"/>
        <v>5500</v>
      </c>
      <c r="P37" s="72">
        <f t="shared" si="8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291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292</v>
      </c>
      <c r="B40" s="93" t="s">
        <v>293</v>
      </c>
      <c r="C40" s="197" t="s">
        <v>294</v>
      </c>
      <c r="D40" s="137" t="s">
        <v>375</v>
      </c>
      <c r="E40" s="137" t="s">
        <v>347</v>
      </c>
      <c r="F40" s="94" t="s">
        <v>19</v>
      </c>
      <c r="G40" s="94" t="s">
        <v>20</v>
      </c>
      <c r="H40" s="94" t="s">
        <v>295</v>
      </c>
      <c r="I40" s="94" t="s">
        <v>296</v>
      </c>
      <c r="J40" s="94" t="s">
        <v>297</v>
      </c>
      <c r="K40" s="136" t="s">
        <v>298</v>
      </c>
      <c r="L40" s="136" t="s">
        <v>299</v>
      </c>
      <c r="M40" s="94" t="s">
        <v>300</v>
      </c>
      <c r="N40" s="94" t="s">
        <v>301</v>
      </c>
      <c r="O40" s="94" t="s">
        <v>339</v>
      </c>
      <c r="P40" s="94" t="s">
        <v>1661</v>
      </c>
    </row>
    <row r="41" spans="1:22" s="91" customFormat="1">
      <c r="A41" s="96"/>
      <c r="B41" s="97" t="s">
        <v>11</v>
      </c>
      <c r="C41" s="71">
        <f t="shared" ref="C41:C46" si="9">SUM(D41:P41)</f>
        <v>2182125</v>
      </c>
      <c r="D41" s="203">
        <f t="shared" ref="D41:P41" si="10">-D7</f>
        <v>385800</v>
      </c>
      <c r="E41" s="203">
        <f t="shared" si="10"/>
        <v>0</v>
      </c>
      <c r="F41" s="203">
        <f t="shared" si="10"/>
        <v>1042800</v>
      </c>
      <c r="G41" s="203">
        <f t="shared" si="10"/>
        <v>321800</v>
      </c>
      <c r="H41" s="203">
        <f t="shared" si="10"/>
        <v>73700</v>
      </c>
      <c r="I41" s="203">
        <f t="shared" si="10"/>
        <v>336100</v>
      </c>
      <c r="J41" s="203">
        <f t="shared" si="10"/>
        <v>0</v>
      </c>
      <c r="K41" s="203">
        <f t="shared" si="10"/>
        <v>0</v>
      </c>
      <c r="L41" s="203">
        <f t="shared" si="10"/>
        <v>0</v>
      </c>
      <c r="M41" s="203">
        <f t="shared" si="10"/>
        <v>20000</v>
      </c>
      <c r="N41" s="203">
        <f t="shared" si="10"/>
        <v>0</v>
      </c>
      <c r="O41" s="203">
        <f t="shared" si="10"/>
        <v>1925</v>
      </c>
      <c r="P41" s="203">
        <f t="shared" si="10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371</v>
      </c>
      <c r="C42" s="71">
        <f t="shared" si="9"/>
        <v>73986717.340000004</v>
      </c>
      <c r="D42" s="15">
        <f t="shared" ref="D42:P42" si="11">+D62+D69</f>
        <v>49783585</v>
      </c>
      <c r="E42" s="15">
        <f t="shared" si="11"/>
        <v>515515</v>
      </c>
      <c r="F42" s="15">
        <f t="shared" si="11"/>
        <v>8518401</v>
      </c>
      <c r="G42" s="15">
        <f t="shared" si="11"/>
        <v>6659326.3399999999</v>
      </c>
      <c r="H42" s="15">
        <f t="shared" si="11"/>
        <v>0</v>
      </c>
      <c r="I42" s="15">
        <f t="shared" si="11"/>
        <v>5527548</v>
      </c>
      <c r="J42" s="15">
        <f t="shared" si="11"/>
        <v>0</v>
      </c>
      <c r="K42" s="15">
        <f t="shared" si="11"/>
        <v>1045001</v>
      </c>
      <c r="L42" s="15">
        <f t="shared" si="11"/>
        <v>1819399</v>
      </c>
      <c r="M42" s="15">
        <f t="shared" si="11"/>
        <v>112442</v>
      </c>
      <c r="N42" s="15">
        <f t="shared" si="11"/>
        <v>0</v>
      </c>
      <c r="O42" s="15">
        <f t="shared" si="11"/>
        <v>5500</v>
      </c>
      <c r="P42" s="15">
        <f t="shared" si="11"/>
        <v>0</v>
      </c>
    </row>
    <row r="43" spans="1:22" s="91" customFormat="1">
      <c r="A43" s="96"/>
      <c r="B43" s="97" t="s">
        <v>374</v>
      </c>
      <c r="C43" s="71">
        <f t="shared" si="9"/>
        <v>-2182125</v>
      </c>
      <c r="D43" s="115">
        <v>-385800</v>
      </c>
      <c r="E43" s="115">
        <v>0</v>
      </c>
      <c r="F43" s="115">
        <v>-1197695</v>
      </c>
      <c r="G43" s="115">
        <v>-229393</v>
      </c>
      <c r="H43" s="115">
        <v>-73700</v>
      </c>
      <c r="I43" s="115">
        <v>-273612</v>
      </c>
      <c r="J43" s="3">
        <v>0</v>
      </c>
      <c r="K43" s="115">
        <v>0</v>
      </c>
      <c r="L43" s="115">
        <v>0</v>
      </c>
      <c r="M43" s="115">
        <v>-20000</v>
      </c>
      <c r="N43" s="115">
        <v>0</v>
      </c>
      <c r="O43" s="115">
        <v>-1925</v>
      </c>
      <c r="P43" s="115">
        <v>0</v>
      </c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302</v>
      </c>
      <c r="C44" s="71">
        <f t="shared" si="9"/>
        <v>73986717.340000004</v>
      </c>
      <c r="D44" s="15">
        <f>+D41+D42+D43</f>
        <v>49783585</v>
      </c>
      <c r="E44" s="15">
        <f t="shared" ref="E44:P44" si="12">+E41+E42+E43</f>
        <v>515515</v>
      </c>
      <c r="F44" s="15">
        <f t="shared" si="12"/>
        <v>8363506</v>
      </c>
      <c r="G44" s="15">
        <f t="shared" si="12"/>
        <v>6751733.3399999999</v>
      </c>
      <c r="H44" s="15">
        <f t="shared" si="12"/>
        <v>0</v>
      </c>
      <c r="I44" s="15">
        <f t="shared" si="12"/>
        <v>5590036</v>
      </c>
      <c r="J44" s="15">
        <f t="shared" si="12"/>
        <v>0</v>
      </c>
      <c r="K44" s="15">
        <f t="shared" si="12"/>
        <v>1045001</v>
      </c>
      <c r="L44" s="15">
        <f t="shared" si="12"/>
        <v>1819399</v>
      </c>
      <c r="M44" s="15">
        <f t="shared" si="12"/>
        <v>112442</v>
      </c>
      <c r="N44" s="15">
        <f t="shared" si="12"/>
        <v>0</v>
      </c>
      <c r="O44" s="15">
        <f t="shared" si="12"/>
        <v>5500</v>
      </c>
      <c r="P44" s="15">
        <f t="shared" si="12"/>
        <v>0</v>
      </c>
    </row>
    <row r="45" spans="1:22" s="91" customFormat="1">
      <c r="A45" s="113"/>
      <c r="B45" s="114" t="s">
        <v>249</v>
      </c>
      <c r="C45" s="71">
        <f t="shared" si="9"/>
        <v>73986716.992791921</v>
      </c>
      <c r="D45" s="138">
        <f>+'PLAN RASHODA I IZDATAKA'!D71</f>
        <v>49783584.516692206</v>
      </c>
      <c r="E45" s="138">
        <f>+'PLAN RASHODA I IZDATAKA'!E71</f>
        <v>515515</v>
      </c>
      <c r="F45" s="138">
        <f>+'PLAN RASHODA I IZDATAKA'!F71</f>
        <v>8363505.7800000021</v>
      </c>
      <c r="G45" s="138">
        <f>+'PLAN RASHODA I IZDATAKA'!G71</f>
        <v>6751733.2200000007</v>
      </c>
      <c r="H45" s="138">
        <f>+'PLAN RASHODA I IZDATAKA'!H71</f>
        <v>0</v>
      </c>
      <c r="I45" s="138">
        <f>+'PLAN RASHODA I IZDATAKA'!I71</f>
        <v>5590036.4799999995</v>
      </c>
      <c r="J45" s="138">
        <f>+'PLAN RASHODA I IZDATAKA'!J71</f>
        <v>0</v>
      </c>
      <c r="K45" s="138">
        <f>+'PLAN RASHODA I IZDATAKA'!K71</f>
        <v>1045000.9960997151</v>
      </c>
      <c r="L45" s="138">
        <f>+'PLAN RASHODA I IZDATAKA'!L71</f>
        <v>1819399</v>
      </c>
      <c r="M45" s="138">
        <f>+'PLAN RASHODA I IZDATAKA'!M71</f>
        <v>112442</v>
      </c>
      <c r="N45" s="138">
        <f>+'PLAN RASHODA I IZDATAKA'!N71</f>
        <v>0</v>
      </c>
      <c r="O45" s="138">
        <f>+'PLAN RASHODA I IZDATAKA'!O71</f>
        <v>5500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373</v>
      </c>
      <c r="C46" s="70">
        <f t="shared" si="9"/>
        <v>0.34720807615667582</v>
      </c>
      <c r="D46" s="120">
        <f>+D44-D45</f>
        <v>0.48330779373645782</v>
      </c>
      <c r="E46" s="120">
        <f t="shared" ref="E46:P46" si="13">+E44-E45</f>
        <v>0</v>
      </c>
      <c r="F46" s="120">
        <f t="shared" si="13"/>
        <v>0.21999999787658453</v>
      </c>
      <c r="G46" s="120">
        <f t="shared" si="13"/>
        <v>0.11999999918043613</v>
      </c>
      <c r="H46" s="120">
        <f t="shared" si="13"/>
        <v>0</v>
      </c>
      <c r="I46" s="120">
        <f t="shared" si="13"/>
        <v>-0.47999999951571226</v>
      </c>
      <c r="J46" s="120">
        <f t="shared" si="13"/>
        <v>0</v>
      </c>
      <c r="K46" s="120">
        <f t="shared" si="13"/>
        <v>3.9002848789095879E-3</v>
      </c>
      <c r="L46" s="120">
        <f t="shared" si="13"/>
        <v>0</v>
      </c>
      <c r="M46" s="120">
        <f t="shared" si="13"/>
        <v>0</v>
      </c>
      <c r="N46" s="120">
        <f t="shared" si="13"/>
        <v>0</v>
      </c>
      <c r="O46" s="120">
        <f t="shared" si="13"/>
        <v>0</v>
      </c>
      <c r="P46" s="120">
        <f t="shared" si="13"/>
        <v>0</v>
      </c>
    </row>
    <row r="47" spans="1:22" s="91" customFormat="1">
      <c r="A47" s="98" t="s">
        <v>303</v>
      </c>
      <c r="B47" s="97" t="s">
        <v>304</v>
      </c>
      <c r="C47" s="71">
        <f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305</v>
      </c>
      <c r="B48" s="97" t="s">
        <v>306</v>
      </c>
      <c r="C48" s="71">
        <f t="shared" ref="C48:C70" si="14">SUM(D48:P48)</f>
        <v>2864400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1045001</v>
      </c>
      <c r="L48" s="204">
        <f>SUMIFS('Plan prihoda za unos u SAP'!$H$3:$H$501,'Plan prihoda za unos u SAP'!$C$3:$C$501,"=563",'Plan prihoda za unos u SAP'!$K$3:$K$501,"=632")</f>
        <v>1819399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307</v>
      </c>
      <c r="B49" s="97" t="s">
        <v>308</v>
      </c>
      <c r="C49" s="71">
        <f t="shared" si="14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815</v>
      </c>
      <c r="B50" s="97" t="s">
        <v>816</v>
      </c>
      <c r="C50" s="71">
        <f t="shared" si="14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309</v>
      </c>
      <c r="B51" s="97" t="s">
        <v>310</v>
      </c>
      <c r="C51" s="71">
        <f t="shared" si="14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311</v>
      </c>
      <c r="B52" s="97" t="s">
        <v>53</v>
      </c>
      <c r="C52" s="71">
        <f t="shared" si="14"/>
        <v>5527548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5527548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312</v>
      </c>
      <c r="B53" s="97" t="s">
        <v>313</v>
      </c>
      <c r="C53" s="71">
        <f t="shared" si="14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314</v>
      </c>
      <c r="B54" s="97" t="s">
        <v>315</v>
      </c>
      <c r="C54" s="71">
        <f t="shared" si="14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818</v>
      </c>
      <c r="B55" s="97" t="s">
        <v>817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316</v>
      </c>
      <c r="B56" s="97" t="s">
        <v>317</v>
      </c>
      <c r="C56" s="71">
        <f t="shared" si="14"/>
        <v>6659326.3399999999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6659326.3399999999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318</v>
      </c>
      <c r="B57" s="97" t="s">
        <v>319</v>
      </c>
      <c r="C57" s="71">
        <f t="shared" si="14"/>
        <v>8518401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8518401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320</v>
      </c>
      <c r="B58" s="97" t="s">
        <v>321</v>
      </c>
      <c r="C58" s="71">
        <f t="shared" si="14"/>
        <v>112442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112442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322</v>
      </c>
      <c r="B59" s="97" t="s">
        <v>282</v>
      </c>
      <c r="C59" s="71">
        <f t="shared" si="14"/>
        <v>50299100</v>
      </c>
      <c r="D59" s="204">
        <f>SUMIFS('Plan prihoda za unos u SAP'!$H$3:$H$501,'Plan prihoda za unos u SAP'!$C$3:$C$501,"=11",'Plan prihoda za unos u SAP'!$K$3:$K$501,"=671")</f>
        <v>49783585</v>
      </c>
      <c r="E59" s="204">
        <f>SUMIFS('Plan prihoda za unos u SAP'!$H$3:$H$501,'Plan prihoda za unos u SAP'!$C$3:$C$501,"=12",'Plan prihoda za unos u SAP'!$K$3:$K$501,"=671")</f>
        <v>515515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323</v>
      </c>
      <c r="B60" s="97" t="s">
        <v>324</v>
      </c>
      <c r="C60" s="71">
        <f t="shared" si="14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325</v>
      </c>
      <c r="B61" s="97" t="s">
        <v>326</v>
      </c>
      <c r="C61" s="71">
        <f t="shared" si="14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327</v>
      </c>
      <c r="B62" s="100" t="s">
        <v>328</v>
      </c>
      <c r="C62" s="71">
        <f t="shared" si="14"/>
        <v>73981217.340000004</v>
      </c>
      <c r="D62" s="4">
        <f t="shared" ref="D62:P62" si="15">SUM(D47:D61)</f>
        <v>49783585</v>
      </c>
      <c r="E62" s="4">
        <f t="shared" si="15"/>
        <v>515515</v>
      </c>
      <c r="F62" s="4">
        <f t="shared" si="15"/>
        <v>8518401</v>
      </c>
      <c r="G62" s="4">
        <f t="shared" si="15"/>
        <v>6659326.3399999999</v>
      </c>
      <c r="H62" s="4">
        <f t="shared" si="15"/>
        <v>0</v>
      </c>
      <c r="I62" s="4">
        <f t="shared" si="15"/>
        <v>5527548</v>
      </c>
      <c r="J62" s="4">
        <f t="shared" si="15"/>
        <v>0</v>
      </c>
      <c r="K62" s="4">
        <f t="shared" si="15"/>
        <v>1045001</v>
      </c>
      <c r="L62" s="4">
        <f t="shared" si="15"/>
        <v>1819399</v>
      </c>
      <c r="M62" s="4">
        <f t="shared" si="15"/>
        <v>112442</v>
      </c>
      <c r="N62" s="4">
        <f t="shared" si="15"/>
        <v>0</v>
      </c>
      <c r="O62" s="4">
        <f t="shared" si="15"/>
        <v>0</v>
      </c>
      <c r="P62" s="4">
        <f t="shared" si="15"/>
        <v>0</v>
      </c>
    </row>
    <row r="63" spans="1:16" s="91" customFormat="1">
      <c r="A63" s="96" t="s">
        <v>340</v>
      </c>
      <c r="B63" s="101" t="s">
        <v>341</v>
      </c>
      <c r="C63" s="71">
        <f t="shared" si="14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342</v>
      </c>
      <c r="B64" s="101" t="s">
        <v>343</v>
      </c>
      <c r="C64" s="71">
        <f t="shared" si="14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329</v>
      </c>
      <c r="B65" s="101" t="s">
        <v>330</v>
      </c>
      <c r="C65" s="71">
        <f t="shared" si="14"/>
        <v>5500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5500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331</v>
      </c>
      <c r="B66" s="101" t="s">
        <v>332</v>
      </c>
      <c r="C66" s="71">
        <f t="shared" si="14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333</v>
      </c>
      <c r="B67" s="101" t="s">
        <v>334</v>
      </c>
      <c r="C67" s="71">
        <f t="shared" si="14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344</v>
      </c>
      <c r="B68" s="101" t="s">
        <v>345</v>
      </c>
      <c r="C68" s="71">
        <f t="shared" si="14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335</v>
      </c>
      <c r="B69" s="100" t="s">
        <v>328</v>
      </c>
      <c r="C69" s="71">
        <f t="shared" si="14"/>
        <v>5500</v>
      </c>
      <c r="D69" s="4">
        <f t="shared" ref="D69:P69" si="16">SUM(D63:D68)</f>
        <v>0</v>
      </c>
      <c r="E69" s="4">
        <f t="shared" si="16"/>
        <v>0</v>
      </c>
      <c r="F69" s="4">
        <f t="shared" si="16"/>
        <v>0</v>
      </c>
      <c r="G69" s="4">
        <f t="shared" si="16"/>
        <v>0</v>
      </c>
      <c r="H69" s="4">
        <f t="shared" si="16"/>
        <v>0</v>
      </c>
      <c r="I69" s="4">
        <f t="shared" si="16"/>
        <v>0</v>
      </c>
      <c r="J69" s="4">
        <f t="shared" si="16"/>
        <v>0</v>
      </c>
      <c r="K69" s="4">
        <f t="shared" si="16"/>
        <v>0</v>
      </c>
      <c r="L69" s="4">
        <f t="shared" si="16"/>
        <v>0</v>
      </c>
      <c r="M69" s="4">
        <f t="shared" si="16"/>
        <v>0</v>
      </c>
      <c r="N69" s="4">
        <f t="shared" si="16"/>
        <v>0</v>
      </c>
      <c r="O69" s="4">
        <f t="shared" si="16"/>
        <v>5500</v>
      </c>
      <c r="P69" s="4">
        <f t="shared" si="16"/>
        <v>0</v>
      </c>
    </row>
    <row r="70" spans="1:22" s="91" customFormat="1" ht="25.5">
      <c r="A70" s="102">
        <v>812</v>
      </c>
      <c r="B70" s="103" t="s">
        <v>336</v>
      </c>
      <c r="C70" s="71">
        <f t="shared" si="14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337</v>
      </c>
      <c r="B72" s="100" t="s">
        <v>328</v>
      </c>
      <c r="C72" s="71">
        <f>SUM(D72:P72)</f>
        <v>0</v>
      </c>
      <c r="D72" s="4">
        <f>SUM(D70:D71)</f>
        <v>0</v>
      </c>
      <c r="E72" s="4">
        <f t="shared" ref="E72:P72" si="17">SUM(E70:E71)</f>
        <v>0</v>
      </c>
      <c r="F72" s="4">
        <f t="shared" si="17"/>
        <v>0</v>
      </c>
      <c r="G72" s="4">
        <f t="shared" si="17"/>
        <v>0</v>
      </c>
      <c r="H72" s="4">
        <f t="shared" si="17"/>
        <v>0</v>
      </c>
      <c r="I72" s="4">
        <f t="shared" si="17"/>
        <v>0</v>
      </c>
      <c r="J72" s="4">
        <f t="shared" si="17"/>
        <v>0</v>
      </c>
      <c r="K72" s="4">
        <f t="shared" si="17"/>
        <v>0</v>
      </c>
      <c r="L72" s="4">
        <f t="shared" si="17"/>
        <v>0</v>
      </c>
      <c r="M72" s="4">
        <f t="shared" si="17"/>
        <v>0</v>
      </c>
      <c r="N72" s="4">
        <f t="shared" si="17"/>
        <v>0</v>
      </c>
      <c r="O72" s="4">
        <f t="shared" si="17"/>
        <v>0</v>
      </c>
      <c r="P72" s="4">
        <f t="shared" si="17"/>
        <v>0</v>
      </c>
    </row>
    <row r="73" spans="1:22" s="91" customFormat="1">
      <c r="A73" s="269" t="s">
        <v>338</v>
      </c>
      <c r="B73" s="269"/>
      <c r="C73" s="72">
        <f>SUM(D73:P73)</f>
        <v>73986717.340000004</v>
      </c>
      <c r="D73" s="72">
        <f t="shared" ref="D73:P73" si="18">+D72+D69+D62</f>
        <v>49783585</v>
      </c>
      <c r="E73" s="72">
        <f t="shared" si="18"/>
        <v>515515</v>
      </c>
      <c r="F73" s="72">
        <f t="shared" si="18"/>
        <v>8518401</v>
      </c>
      <c r="G73" s="72">
        <f t="shared" si="18"/>
        <v>6659326.3399999999</v>
      </c>
      <c r="H73" s="72">
        <f t="shared" si="18"/>
        <v>0</v>
      </c>
      <c r="I73" s="72">
        <f t="shared" si="18"/>
        <v>5527548</v>
      </c>
      <c r="J73" s="72">
        <f t="shared" si="18"/>
        <v>0</v>
      </c>
      <c r="K73" s="72">
        <f t="shared" si="18"/>
        <v>1045001</v>
      </c>
      <c r="L73" s="72">
        <f t="shared" si="18"/>
        <v>1819399</v>
      </c>
      <c r="M73" s="72">
        <f t="shared" si="18"/>
        <v>112442</v>
      </c>
      <c r="N73" s="72">
        <f t="shared" si="18"/>
        <v>0</v>
      </c>
      <c r="O73" s="72">
        <f t="shared" si="18"/>
        <v>5500</v>
      </c>
      <c r="P73" s="72">
        <f t="shared" si="18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291</v>
      </c>
      <c r="B75" s="265"/>
      <c r="C75" s="266" t="s">
        <v>839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292</v>
      </c>
      <c r="B76" s="93" t="s">
        <v>293</v>
      </c>
      <c r="C76" s="197" t="s">
        <v>294</v>
      </c>
      <c r="D76" s="137" t="s">
        <v>375</v>
      </c>
      <c r="E76" s="137" t="s">
        <v>347</v>
      </c>
      <c r="F76" s="94" t="s">
        <v>19</v>
      </c>
      <c r="G76" s="94" t="s">
        <v>20</v>
      </c>
      <c r="H76" s="94" t="s">
        <v>295</v>
      </c>
      <c r="I76" s="94" t="s">
        <v>296</v>
      </c>
      <c r="J76" s="94" t="s">
        <v>297</v>
      </c>
      <c r="K76" s="136" t="s">
        <v>298</v>
      </c>
      <c r="L76" s="136" t="s">
        <v>299</v>
      </c>
      <c r="M76" s="94" t="s">
        <v>300</v>
      </c>
      <c r="N76" s="94" t="s">
        <v>301</v>
      </c>
      <c r="O76" s="94" t="s">
        <v>339</v>
      </c>
      <c r="P76" s="94" t="s">
        <v>1661</v>
      </c>
    </row>
    <row r="77" spans="1:22" s="91" customFormat="1">
      <c r="A77" s="96"/>
      <c r="B77" s="97" t="s">
        <v>11</v>
      </c>
      <c r="C77" s="71">
        <f t="shared" ref="C77:C82" si="19">SUM(D77:P77)</f>
        <v>2182125</v>
      </c>
      <c r="D77" s="203">
        <f t="shared" ref="D77:P77" si="20">-D43</f>
        <v>385800</v>
      </c>
      <c r="E77" s="203">
        <f t="shared" si="20"/>
        <v>0</v>
      </c>
      <c r="F77" s="203">
        <f t="shared" si="20"/>
        <v>1197695</v>
      </c>
      <c r="G77" s="203">
        <f t="shared" si="20"/>
        <v>229393</v>
      </c>
      <c r="H77" s="203">
        <f t="shared" si="20"/>
        <v>73700</v>
      </c>
      <c r="I77" s="203">
        <f t="shared" si="20"/>
        <v>273612</v>
      </c>
      <c r="J77" s="203">
        <f t="shared" si="20"/>
        <v>0</v>
      </c>
      <c r="K77" s="203">
        <f t="shared" si="20"/>
        <v>0</v>
      </c>
      <c r="L77" s="203">
        <f t="shared" si="20"/>
        <v>0</v>
      </c>
      <c r="M77" s="203">
        <f t="shared" si="20"/>
        <v>20000</v>
      </c>
      <c r="N77" s="203">
        <f t="shared" si="20"/>
        <v>0</v>
      </c>
      <c r="O77" s="203">
        <f t="shared" si="20"/>
        <v>1925</v>
      </c>
      <c r="P77" s="203">
        <f t="shared" si="20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371</v>
      </c>
      <c r="C78" s="71">
        <f t="shared" si="19"/>
        <v>74294887.382344007</v>
      </c>
      <c r="D78" s="15">
        <f t="shared" ref="D78:P78" si="21">+D98+D105</f>
        <v>49902921</v>
      </c>
      <c r="E78" s="15">
        <f t="shared" si="21"/>
        <v>524268</v>
      </c>
      <c r="F78" s="15">
        <f t="shared" si="21"/>
        <v>8596770.773616001</v>
      </c>
      <c r="G78" s="15">
        <f t="shared" si="21"/>
        <v>6720592.1423280006</v>
      </c>
      <c r="H78" s="15">
        <f t="shared" si="21"/>
        <v>0</v>
      </c>
      <c r="I78" s="15">
        <f t="shared" si="21"/>
        <v>5577640</v>
      </c>
      <c r="J78" s="15">
        <f t="shared" si="21"/>
        <v>0</v>
      </c>
      <c r="K78" s="15">
        <f t="shared" si="21"/>
        <v>1023955</v>
      </c>
      <c r="L78" s="15">
        <f t="shared" si="21"/>
        <v>1829764</v>
      </c>
      <c r="M78" s="15">
        <f t="shared" si="21"/>
        <v>113476.4664</v>
      </c>
      <c r="N78" s="15">
        <f t="shared" si="21"/>
        <v>0</v>
      </c>
      <c r="O78" s="15">
        <f t="shared" si="21"/>
        <v>5500</v>
      </c>
      <c r="P78" s="15">
        <f t="shared" si="21"/>
        <v>0</v>
      </c>
    </row>
    <row r="79" spans="1:22" s="91" customFormat="1">
      <c r="A79" s="96"/>
      <c r="B79" s="97" t="s">
        <v>374</v>
      </c>
      <c r="C79" s="71">
        <f t="shared" si="19"/>
        <v>-2182125</v>
      </c>
      <c r="D79" s="115">
        <v>-385800</v>
      </c>
      <c r="E79" s="115">
        <v>0</v>
      </c>
      <c r="F79" s="115">
        <v>-1354015</v>
      </c>
      <c r="G79" s="115">
        <v>-136136</v>
      </c>
      <c r="H79" s="115">
        <v>-73700</v>
      </c>
      <c r="I79" s="115">
        <v>-210549</v>
      </c>
      <c r="J79" s="3">
        <v>0</v>
      </c>
      <c r="K79" s="115">
        <v>0</v>
      </c>
      <c r="L79" s="115">
        <v>0</v>
      </c>
      <c r="M79" s="115">
        <v>-20000</v>
      </c>
      <c r="N79" s="115">
        <v>0</v>
      </c>
      <c r="O79" s="115">
        <v>-1925</v>
      </c>
      <c r="P79" s="115">
        <v>0</v>
      </c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302</v>
      </c>
      <c r="C80" s="71">
        <f t="shared" si="19"/>
        <v>74294887.382344007</v>
      </c>
      <c r="D80" s="15">
        <f>+D77+D78+D79</f>
        <v>49902921</v>
      </c>
      <c r="E80" s="15">
        <f t="shared" ref="E80:P80" si="22">+E77+E78+E79</f>
        <v>524268</v>
      </c>
      <c r="F80" s="15">
        <f t="shared" si="22"/>
        <v>8440450.773616001</v>
      </c>
      <c r="G80" s="15">
        <f t="shared" si="22"/>
        <v>6813849.1423280006</v>
      </c>
      <c r="H80" s="15">
        <f t="shared" si="22"/>
        <v>0</v>
      </c>
      <c r="I80" s="15">
        <f t="shared" si="22"/>
        <v>5640703</v>
      </c>
      <c r="J80" s="15">
        <f t="shared" si="22"/>
        <v>0</v>
      </c>
      <c r="K80" s="15">
        <f t="shared" si="22"/>
        <v>1023955</v>
      </c>
      <c r="L80" s="15">
        <f t="shared" si="22"/>
        <v>1829764</v>
      </c>
      <c r="M80" s="15">
        <f t="shared" si="22"/>
        <v>113476.4664</v>
      </c>
      <c r="N80" s="15">
        <f t="shared" si="22"/>
        <v>0</v>
      </c>
      <c r="O80" s="15">
        <f t="shared" si="22"/>
        <v>5500</v>
      </c>
      <c r="P80" s="15">
        <f t="shared" si="22"/>
        <v>0</v>
      </c>
    </row>
    <row r="81" spans="1:22" s="91" customFormat="1">
      <c r="A81" s="113"/>
      <c r="B81" s="114" t="s">
        <v>249</v>
      </c>
      <c r="C81" s="71">
        <f t="shared" si="19"/>
        <v>74294887.205758169</v>
      </c>
      <c r="D81" s="138">
        <f>+'PLAN RASHODA I IZDATAKA'!D91</f>
        <v>49902920.791694164</v>
      </c>
      <c r="E81" s="138">
        <f>+'PLAN RASHODA I IZDATAKA'!E91</f>
        <v>524268</v>
      </c>
      <c r="F81" s="138">
        <f>+'PLAN RASHODA I IZDATAKA'!F91</f>
        <v>8440450.6185120009</v>
      </c>
      <c r="G81" s="138">
        <f>+'PLAN RASHODA I IZDATAKA'!G91</f>
        <v>6813849.1656240001</v>
      </c>
      <c r="H81" s="138">
        <f>+'PLAN RASHODA I IZDATAKA'!H91</f>
        <v>0</v>
      </c>
      <c r="I81" s="138">
        <f>+'PLAN RASHODA I IZDATAKA'!I91</f>
        <v>5640703.1635280009</v>
      </c>
      <c r="J81" s="138">
        <f>+'PLAN RASHODA I IZDATAKA'!J91</f>
        <v>0</v>
      </c>
      <c r="K81" s="138">
        <f>+'PLAN RASHODA I IZDATAKA'!K91</f>
        <v>1023955</v>
      </c>
      <c r="L81" s="138">
        <f>+'PLAN RASHODA I IZDATAKA'!L91</f>
        <v>1829764</v>
      </c>
      <c r="M81" s="138">
        <f>+'PLAN RASHODA I IZDATAKA'!M91</f>
        <v>113476.46640000002</v>
      </c>
      <c r="N81" s="138">
        <f>+'PLAN RASHODA I IZDATAKA'!N91</f>
        <v>0</v>
      </c>
      <c r="O81" s="138">
        <f>+'PLAN RASHODA I IZDATAKA'!O91</f>
        <v>5500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373</v>
      </c>
      <c r="C82" s="70">
        <f t="shared" si="19"/>
        <v>0.17658583540469408</v>
      </c>
      <c r="D82" s="120">
        <f>+D80-D81</f>
        <v>0.20830583572387695</v>
      </c>
      <c r="E82" s="120">
        <f t="shared" ref="E82:P82" si="23">+E80-E81</f>
        <v>0</v>
      </c>
      <c r="F82" s="120">
        <f t="shared" si="23"/>
        <v>0.15510400012135506</v>
      </c>
      <c r="G82" s="120">
        <f t="shared" si="23"/>
        <v>-2.3295999504625797E-2</v>
      </c>
      <c r="H82" s="120">
        <f t="shared" si="23"/>
        <v>0</v>
      </c>
      <c r="I82" s="120">
        <f t="shared" si="23"/>
        <v>-0.16352800093591213</v>
      </c>
      <c r="J82" s="120">
        <f t="shared" si="23"/>
        <v>0</v>
      </c>
      <c r="K82" s="120">
        <f t="shared" si="23"/>
        <v>0</v>
      </c>
      <c r="L82" s="120">
        <f t="shared" si="23"/>
        <v>0</v>
      </c>
      <c r="M82" s="120">
        <f t="shared" si="23"/>
        <v>0</v>
      </c>
      <c r="N82" s="120">
        <f t="shared" si="23"/>
        <v>0</v>
      </c>
      <c r="O82" s="120">
        <f t="shared" si="23"/>
        <v>0</v>
      </c>
      <c r="P82" s="120">
        <f t="shared" si="23"/>
        <v>0</v>
      </c>
    </row>
    <row r="83" spans="1:22" s="91" customFormat="1">
      <c r="A83" s="98" t="s">
        <v>303</v>
      </c>
      <c r="B83" s="97" t="s">
        <v>304</v>
      </c>
      <c r="C83" s="71">
        <f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305</v>
      </c>
      <c r="B84" s="97" t="s">
        <v>306</v>
      </c>
      <c r="C84" s="71">
        <f t="shared" ref="C84:C106" si="24">SUM(D84:P84)</f>
        <v>2853719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1023955</v>
      </c>
      <c r="L84" s="204">
        <f>SUMIFS('Plan prihoda za unos u SAP'!$I$3:$I$501,'Plan prihoda za unos u SAP'!$C$3:$C$501,"=563",'Plan prihoda za unos u SAP'!$K$3:$K$501,"=632")</f>
        <v>1829764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307</v>
      </c>
      <c r="B85" s="97" t="s">
        <v>308</v>
      </c>
      <c r="C85" s="71">
        <f t="shared" si="24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815</v>
      </c>
      <c r="B86" s="97" t="s">
        <v>816</v>
      </c>
      <c r="C86" s="71">
        <f t="shared" si="24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309</v>
      </c>
      <c r="B87" s="97" t="s">
        <v>310</v>
      </c>
      <c r="C87" s="71">
        <f t="shared" si="24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311</v>
      </c>
      <c r="B88" s="97" t="s">
        <v>53</v>
      </c>
      <c r="C88" s="71">
        <f t="shared" si="24"/>
        <v>5577640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5577640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312</v>
      </c>
      <c r="B89" s="97" t="s">
        <v>313</v>
      </c>
      <c r="C89" s="71">
        <f t="shared" si="24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314</v>
      </c>
      <c r="B90" s="97" t="s">
        <v>315</v>
      </c>
      <c r="C90" s="71">
        <f t="shared" si="24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818</v>
      </c>
      <c r="B91" s="97" t="s">
        <v>817</v>
      </c>
      <c r="C91" s="71">
        <f t="shared" si="24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316</v>
      </c>
      <c r="B92" s="97" t="s">
        <v>317</v>
      </c>
      <c r="C92" s="71">
        <f t="shared" si="24"/>
        <v>6720592.1423280006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6720592.1423280006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318</v>
      </c>
      <c r="B93" s="97" t="s">
        <v>319</v>
      </c>
      <c r="C93" s="71">
        <f t="shared" si="24"/>
        <v>8596770.773616001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8596770.773616001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320</v>
      </c>
      <c r="B94" s="97" t="s">
        <v>321</v>
      </c>
      <c r="C94" s="71">
        <f t="shared" si="24"/>
        <v>113476.4664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113476.4664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322</v>
      </c>
      <c r="B95" s="131" t="s">
        <v>282</v>
      </c>
      <c r="C95" s="71">
        <f t="shared" si="24"/>
        <v>50427189</v>
      </c>
      <c r="D95" s="204">
        <f>SUMIFS('Plan prihoda za unos u SAP'!$I$3:$I$501,'Plan prihoda za unos u SAP'!$C$3:$C$501,"=11",'Plan prihoda za unos u SAP'!$K$3:$K$501,"=671")</f>
        <v>49902921</v>
      </c>
      <c r="E95" s="204">
        <f>SUMIFS('Plan prihoda za unos u SAP'!$I$3:$I$501,'Plan prihoda za unos u SAP'!$C$3:$C$501,"=12",'Plan prihoda za unos u SAP'!$K$3:$K$501,"=671")</f>
        <v>524268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323</v>
      </c>
      <c r="B96" s="97" t="s">
        <v>324</v>
      </c>
      <c r="C96" s="71">
        <f t="shared" si="24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325</v>
      </c>
      <c r="B97" s="97" t="s">
        <v>326</v>
      </c>
      <c r="C97" s="71">
        <f t="shared" si="24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327</v>
      </c>
      <c r="B98" s="100" t="s">
        <v>328</v>
      </c>
      <c r="C98" s="71">
        <f t="shared" si="24"/>
        <v>74289387.382344007</v>
      </c>
      <c r="D98" s="4">
        <f t="shared" ref="D98:P98" si="25">SUM(D83:D97)</f>
        <v>49902921</v>
      </c>
      <c r="E98" s="4">
        <f t="shared" si="25"/>
        <v>524268</v>
      </c>
      <c r="F98" s="4">
        <f t="shared" si="25"/>
        <v>8596770.773616001</v>
      </c>
      <c r="G98" s="4">
        <f t="shared" si="25"/>
        <v>6720592.1423280006</v>
      </c>
      <c r="H98" s="4">
        <f t="shared" si="25"/>
        <v>0</v>
      </c>
      <c r="I98" s="4">
        <f t="shared" si="25"/>
        <v>5577640</v>
      </c>
      <c r="J98" s="4">
        <f t="shared" si="25"/>
        <v>0</v>
      </c>
      <c r="K98" s="4">
        <f t="shared" si="25"/>
        <v>1023955</v>
      </c>
      <c r="L98" s="4">
        <f t="shared" si="25"/>
        <v>1829764</v>
      </c>
      <c r="M98" s="4">
        <f t="shared" si="25"/>
        <v>113476.4664</v>
      </c>
      <c r="N98" s="4">
        <f t="shared" si="25"/>
        <v>0</v>
      </c>
      <c r="O98" s="4">
        <f t="shared" si="25"/>
        <v>0</v>
      </c>
      <c r="P98" s="4">
        <f t="shared" si="25"/>
        <v>0</v>
      </c>
    </row>
    <row r="99" spans="1:16" s="91" customFormat="1">
      <c r="A99" s="96" t="s">
        <v>340</v>
      </c>
      <c r="B99" s="101" t="s">
        <v>341</v>
      </c>
      <c r="C99" s="71">
        <f t="shared" si="24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342</v>
      </c>
      <c r="B100" s="101" t="s">
        <v>343</v>
      </c>
      <c r="C100" s="71">
        <f t="shared" si="24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329</v>
      </c>
      <c r="B101" s="101" t="s">
        <v>330</v>
      </c>
      <c r="C101" s="71">
        <f t="shared" si="24"/>
        <v>5500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5500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331</v>
      </c>
      <c r="B102" s="101" t="s">
        <v>332</v>
      </c>
      <c r="C102" s="71">
        <f t="shared" si="24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333</v>
      </c>
      <c r="B103" s="101" t="s">
        <v>334</v>
      </c>
      <c r="C103" s="71">
        <f t="shared" si="24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344</v>
      </c>
      <c r="B104" s="101" t="s">
        <v>345</v>
      </c>
      <c r="C104" s="71">
        <f t="shared" si="24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335</v>
      </c>
      <c r="B105" s="100" t="s">
        <v>328</v>
      </c>
      <c r="C105" s="71">
        <f t="shared" si="24"/>
        <v>5500</v>
      </c>
      <c r="D105" s="4">
        <f t="shared" ref="D105:P105" si="26">SUM(D99:D104)</f>
        <v>0</v>
      </c>
      <c r="E105" s="4">
        <f t="shared" si="26"/>
        <v>0</v>
      </c>
      <c r="F105" s="4">
        <f t="shared" si="26"/>
        <v>0</v>
      </c>
      <c r="G105" s="4">
        <f t="shared" si="26"/>
        <v>0</v>
      </c>
      <c r="H105" s="4">
        <f t="shared" si="26"/>
        <v>0</v>
      </c>
      <c r="I105" s="4">
        <f t="shared" si="26"/>
        <v>0</v>
      </c>
      <c r="J105" s="4">
        <f t="shared" si="26"/>
        <v>0</v>
      </c>
      <c r="K105" s="4">
        <f t="shared" si="26"/>
        <v>0</v>
      </c>
      <c r="L105" s="4">
        <f t="shared" si="26"/>
        <v>0</v>
      </c>
      <c r="M105" s="4">
        <f t="shared" si="26"/>
        <v>0</v>
      </c>
      <c r="N105" s="4">
        <f t="shared" si="26"/>
        <v>0</v>
      </c>
      <c r="O105" s="4">
        <f t="shared" si="26"/>
        <v>5500</v>
      </c>
      <c r="P105" s="4">
        <f t="shared" si="26"/>
        <v>0</v>
      </c>
    </row>
    <row r="106" spans="1:16" s="91" customFormat="1" ht="25.5">
      <c r="A106" s="102">
        <v>812</v>
      </c>
      <c r="B106" s="103" t="s">
        <v>336</v>
      </c>
      <c r="C106" s="71">
        <f t="shared" si="24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337</v>
      </c>
      <c r="B108" s="100" t="s">
        <v>328</v>
      </c>
      <c r="C108" s="71">
        <f>SUM(D108:P108)</f>
        <v>0</v>
      </c>
      <c r="D108" s="4">
        <f t="shared" ref="D108:P108" si="27">SUM(D106:D107)</f>
        <v>0</v>
      </c>
      <c r="E108" s="4">
        <f t="shared" si="27"/>
        <v>0</v>
      </c>
      <c r="F108" s="4">
        <f t="shared" si="27"/>
        <v>0</v>
      </c>
      <c r="G108" s="4">
        <f t="shared" si="27"/>
        <v>0</v>
      </c>
      <c r="H108" s="4">
        <f t="shared" si="27"/>
        <v>0</v>
      </c>
      <c r="I108" s="4">
        <f t="shared" si="27"/>
        <v>0</v>
      </c>
      <c r="J108" s="4">
        <f t="shared" si="27"/>
        <v>0</v>
      </c>
      <c r="K108" s="4">
        <f t="shared" si="27"/>
        <v>0</v>
      </c>
      <c r="L108" s="4">
        <f t="shared" si="27"/>
        <v>0</v>
      </c>
      <c r="M108" s="4">
        <f t="shared" si="27"/>
        <v>0</v>
      </c>
      <c r="N108" s="4">
        <f t="shared" si="27"/>
        <v>0</v>
      </c>
      <c r="O108" s="4">
        <f t="shared" si="27"/>
        <v>0</v>
      </c>
      <c r="P108" s="4">
        <f t="shared" si="27"/>
        <v>0</v>
      </c>
    </row>
    <row r="109" spans="1:16" s="91" customFormat="1" ht="21" customHeight="1">
      <c r="A109" s="269" t="s">
        <v>338</v>
      </c>
      <c r="B109" s="269"/>
      <c r="C109" s="72">
        <f>SUM(D109:P109)</f>
        <v>74294887.382344007</v>
      </c>
      <c r="D109" s="72">
        <f t="shared" ref="D109:P109" si="28">+D108+D105+D98</f>
        <v>49902921</v>
      </c>
      <c r="E109" s="72">
        <f t="shared" si="28"/>
        <v>524268</v>
      </c>
      <c r="F109" s="72">
        <f t="shared" si="28"/>
        <v>8596770.773616001</v>
      </c>
      <c r="G109" s="72">
        <f t="shared" si="28"/>
        <v>6720592.1423280006</v>
      </c>
      <c r="H109" s="72">
        <f t="shared" si="28"/>
        <v>0</v>
      </c>
      <c r="I109" s="72">
        <f t="shared" si="28"/>
        <v>5577640</v>
      </c>
      <c r="J109" s="72">
        <f t="shared" si="28"/>
        <v>0</v>
      </c>
      <c r="K109" s="72">
        <f t="shared" si="28"/>
        <v>1023955</v>
      </c>
      <c r="L109" s="72">
        <f t="shared" si="28"/>
        <v>1829764</v>
      </c>
      <c r="M109" s="72">
        <f t="shared" si="28"/>
        <v>113476.4664</v>
      </c>
      <c r="N109" s="72">
        <f t="shared" si="28"/>
        <v>0</v>
      </c>
      <c r="O109" s="72">
        <f t="shared" si="28"/>
        <v>5500</v>
      </c>
      <c r="P109" s="72">
        <f t="shared" si="28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xWindow="1427" yWindow="409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horizontalDpi="4294967295" verticalDpi="4294967295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376</v>
      </c>
      <c r="D2" s="2" t="s">
        <v>52</v>
      </c>
      <c r="E2" s="2" t="s">
        <v>347</v>
      </c>
      <c r="F2" s="94" t="s">
        <v>19</v>
      </c>
      <c r="G2" s="94" t="s">
        <v>20</v>
      </c>
      <c r="H2" s="94" t="s">
        <v>295</v>
      </c>
      <c r="I2" s="94" t="s">
        <v>296</v>
      </c>
      <c r="J2" s="94" t="s">
        <v>297</v>
      </c>
      <c r="K2" s="94" t="s">
        <v>298</v>
      </c>
      <c r="L2" s="94" t="s">
        <v>299</v>
      </c>
      <c r="M2" s="94" t="s">
        <v>300</v>
      </c>
      <c r="N2" s="94" t="s">
        <v>301</v>
      </c>
      <c r="O2" s="94" t="s">
        <v>1663</v>
      </c>
      <c r="P2" s="94" t="s">
        <v>1661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381</v>
      </c>
      <c r="C3" s="122">
        <f>SUM(D3:P3)</f>
        <v>71510081.936737269</v>
      </c>
      <c r="D3" s="123">
        <f t="shared" ref="D3:P3" si="0">D4+D38+D58</f>
        <v>47605381.936737269</v>
      </c>
      <c r="E3" s="123">
        <f t="shared" si="0"/>
        <v>504282</v>
      </c>
      <c r="F3" s="123">
        <f t="shared" si="0"/>
        <v>8194400</v>
      </c>
      <c r="G3" s="123">
        <f t="shared" si="0"/>
        <v>6605100</v>
      </c>
      <c r="H3" s="123">
        <f t="shared" si="0"/>
        <v>82400</v>
      </c>
      <c r="I3" s="123">
        <f t="shared" si="0"/>
        <v>5373702</v>
      </c>
      <c r="J3" s="123">
        <f t="shared" si="0"/>
        <v>0</v>
      </c>
      <c r="K3" s="123">
        <f t="shared" si="0"/>
        <v>1214430</v>
      </c>
      <c r="L3" s="123">
        <f t="shared" si="0"/>
        <v>1814886</v>
      </c>
      <c r="M3" s="123">
        <f t="shared" si="0"/>
        <v>110000</v>
      </c>
      <c r="N3" s="123">
        <f t="shared" si="0"/>
        <v>0</v>
      </c>
      <c r="O3" s="123">
        <f t="shared" si="0"/>
        <v>5500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65214529</v>
      </c>
      <c r="D4" s="127">
        <f>D5+D9+D15+D19+D23+D30+D33</f>
        <v>45736181.936737269</v>
      </c>
      <c r="E4" s="127">
        <f t="shared" ref="E4:P4" si="1">E5+E9+E15+E19+E23+E30+E33</f>
        <v>504282</v>
      </c>
      <c r="F4" s="127">
        <f t="shared" si="1"/>
        <v>7540600</v>
      </c>
      <c r="G4" s="127">
        <f t="shared" si="1"/>
        <v>5264900</v>
      </c>
      <c r="H4" s="127">
        <f t="shared" si="1"/>
        <v>82400</v>
      </c>
      <c r="I4" s="127">
        <f t="shared" si="1"/>
        <v>3782577</v>
      </c>
      <c r="J4" s="127">
        <f t="shared" si="1"/>
        <v>0</v>
      </c>
      <c r="K4" s="127">
        <f t="shared" si="1"/>
        <v>946502</v>
      </c>
      <c r="L4" s="127">
        <f t="shared" si="1"/>
        <v>1241586</v>
      </c>
      <c r="M4" s="127">
        <f t="shared" si="1"/>
        <v>110000</v>
      </c>
      <c r="N4" s="127">
        <f t="shared" si="1"/>
        <v>0</v>
      </c>
      <c r="O4" s="127">
        <f t="shared" si="1"/>
        <v>5500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46464453</v>
      </c>
      <c r="D5" s="13">
        <f>SUM(D6:D8)</f>
        <v>38281813.904586494</v>
      </c>
      <c r="E5" s="13">
        <f t="shared" ref="E5:P5" si="3">SUM(E6:E8)</f>
        <v>481434</v>
      </c>
      <c r="F5" s="13">
        <f t="shared" si="3"/>
        <v>4161700</v>
      </c>
      <c r="G5" s="13">
        <f t="shared" si="3"/>
        <v>1811700</v>
      </c>
      <c r="H5" s="13">
        <f t="shared" si="3"/>
        <v>39980</v>
      </c>
      <c r="I5" s="13">
        <f t="shared" si="3"/>
        <v>911602</v>
      </c>
      <c r="J5" s="13">
        <f t="shared" si="3"/>
        <v>0</v>
      </c>
      <c r="K5" s="13">
        <f t="shared" si="3"/>
        <v>659547</v>
      </c>
      <c r="L5" s="13">
        <f t="shared" si="3"/>
        <v>116676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248</v>
      </c>
      <c r="C6" s="78">
        <f>ROUND(SUM(D6:P6),0)</f>
        <v>39228161</v>
      </c>
      <c r="D6" s="143">
        <f>SUMIFS('Plan rashoda za unos u SAP'!$I$3:$I$501,'Plan rashoda za unos u SAP'!$C$3:$C$501,"=11",'Plan rashoda za unos u SAP'!$M$3:$M$501,"=311")</f>
        <v>32328913.904586494</v>
      </c>
      <c r="E6" s="143">
        <f>SUMIFS('Plan rashoda za unos u SAP'!$I$3:$I$501,'Plan rashoda za unos u SAP'!$C$3:$C$501,"=12",'Plan rashoda za unos u SAP'!$M$3:$M$501,"=311")</f>
        <v>413002</v>
      </c>
      <c r="F6" s="143">
        <f>SUMIFS('Plan rashoda za unos u SAP'!$I$3:$I$501,'Plan rashoda za unos u SAP'!$C$3:$C$501,"=31",'Plan rashoda za unos u SAP'!$M$3:$M$501,"=311")</f>
        <v>3523300</v>
      </c>
      <c r="G6" s="143">
        <f>SUMIFS('Plan rashoda za unos u SAP'!$I$3:$I$501,'Plan rashoda za unos u SAP'!$C$3:$C$501,"=43",'Plan rashoda za unos u SAP'!$M$3:$M$501,"=311")</f>
        <v>1494900</v>
      </c>
      <c r="H6" s="143">
        <f>SUMIFS('Plan rashoda za unos u SAP'!$I$3:$I$501,'Plan rashoda za unos u SAP'!$C$3:$C$501,"=51",'Plan rashoda za unos u SAP'!$M$3:$M$501,"=311")</f>
        <v>29980</v>
      </c>
      <c r="I6" s="143">
        <f>SUMIFS('Plan rashoda za unos u SAP'!$I$3:$I$501,'Plan rashoda za unos u SAP'!$C$3:$C$501,"=52",'Plan rashoda za unos u SAP'!$M$3:$M$501,"=311")</f>
        <v>767102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575030</v>
      </c>
      <c r="L6" s="143">
        <f>SUMIFS('Plan rashoda za unos u SAP'!$I$3:$I$501,'Plan rashoda za unos u SAP'!$C$3:$C$501,"=563",'Plan rashoda za unos u SAP'!$M$3:$M$501,"=311")</f>
        <v>95933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1068398</v>
      </c>
      <c r="D7" s="143">
        <f>SUMIFS('Plan rashoda za unos u SAP'!$I$3:$I$501,'Plan rashoda za unos u SAP'!$C$3:$C$501,"=11",'Plan rashoda za unos u SAP'!$M$3:$M$501,"=312")</f>
        <v>880800</v>
      </c>
      <c r="E7" s="143">
        <f>SUMIFS('Plan rashoda za unos u SAP'!$I$3:$I$501,'Plan rashoda za unos u SAP'!$C$3:$C$501,"=12",'Plan rashoda za unos u SAP'!$M$3:$M$501,"=312")</f>
        <v>9882</v>
      </c>
      <c r="F7" s="143">
        <f>SUMIFS('Plan rashoda za unos u SAP'!$I$3:$I$501,'Plan rashoda za unos u SAP'!$C$3:$C$501,"=31",'Plan rashoda za unos u SAP'!$M$3:$M$501,"=312")</f>
        <v>57100</v>
      </c>
      <c r="G7" s="143">
        <f>SUMIFS('Plan rashoda za unos u SAP'!$I$3:$I$501,'Plan rashoda za unos u SAP'!$C$3:$C$501,"=43",'Plan rashoda za unos u SAP'!$M$3:$M$501,"=312")</f>
        <v>70200</v>
      </c>
      <c r="H7" s="143">
        <f>SUMIFS('Plan rashoda za unos u SAP'!$I$3:$I$501,'Plan rashoda za unos u SAP'!$C$3:$C$501,"=51",'Plan rashoda za unos u SAP'!$M$3:$M$501,"=312")</f>
        <v>5000</v>
      </c>
      <c r="I7" s="143">
        <f>SUMIFS('Plan rashoda za unos u SAP'!$I$3:$I$501,'Plan rashoda za unos u SAP'!$C$3:$C$501,"=52",'Plan rashoda za unos u SAP'!$M$3:$M$501,"=312")</f>
        <v>31300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11212</v>
      </c>
      <c r="L7" s="143">
        <f>SUMIFS('Plan rashoda za unos u SAP'!$I$3:$I$501,'Plan rashoda za unos u SAP'!$C$3:$C$501,"=563",'Plan rashoda za unos u SAP'!$M$3:$M$501,"=312")</f>
        <v>2904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284</v>
      </c>
      <c r="C8" s="15">
        <f t="shared" si="2"/>
        <v>6167894</v>
      </c>
      <c r="D8" s="143">
        <f>SUMIFS('Plan rashoda za unos u SAP'!$I$3:$I$501,'Plan rashoda za unos u SAP'!$C$3:$C$501,"=11",'Plan rashoda za unos u SAP'!$M$3:$M$501,"=313")</f>
        <v>5072100</v>
      </c>
      <c r="E8" s="143">
        <f>SUMIFS('Plan rashoda za unos u SAP'!$I$3:$I$501,'Plan rashoda za unos u SAP'!$C$3:$C$501,"=12",'Plan rashoda za unos u SAP'!$M$3:$M$501,"=313")</f>
        <v>58550</v>
      </c>
      <c r="F8" s="143">
        <f>SUMIFS('Plan rashoda za unos u SAP'!$I$3:$I$501,'Plan rashoda za unos u SAP'!$C$3:$C$501,"=31",'Plan rashoda za unos u SAP'!$M$3:$M$501,"=313")</f>
        <v>581300</v>
      </c>
      <c r="G8" s="143">
        <f>SUMIFS('Plan rashoda za unos u SAP'!$I$3:$I$501,'Plan rashoda za unos u SAP'!$C$3:$C$501,"=43",'Plan rashoda za unos u SAP'!$M$3:$M$501,"=313")</f>
        <v>246600</v>
      </c>
      <c r="H8" s="143">
        <f>SUMIFS('Plan rashoda za unos u SAP'!$I$3:$I$501,'Plan rashoda za unos u SAP'!$C$3:$C$501,"=51",'Plan rashoda za unos u SAP'!$M$3:$M$501,"=313")</f>
        <v>5000</v>
      </c>
      <c r="I8" s="143">
        <f>SUMIFS('Plan rashoda za unos u SAP'!$I$3:$I$501,'Plan rashoda za unos u SAP'!$C$3:$C$501,"=52",'Plan rashoda za unos u SAP'!$M$3:$M$501,"=313")</f>
        <v>113200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73305</v>
      </c>
      <c r="L8" s="143">
        <f>SUMIFS('Plan rashoda za unos u SAP'!$I$3:$I$501,'Plan rashoda za unos u SAP'!$C$3:$C$501,"=563",'Plan rashoda za unos u SAP'!$M$3:$M$501,"=313")</f>
        <v>17839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18616756</v>
      </c>
      <c r="D9" s="79">
        <f t="shared" ref="D9:P9" si="4">SUM(D10:D14)</f>
        <v>7391068.0321507743</v>
      </c>
      <c r="E9" s="79">
        <f t="shared" si="4"/>
        <v>22848</v>
      </c>
      <c r="F9" s="79">
        <f t="shared" si="4"/>
        <v>3344400</v>
      </c>
      <c r="G9" s="79">
        <f t="shared" si="4"/>
        <v>3429000</v>
      </c>
      <c r="H9" s="79">
        <f t="shared" si="4"/>
        <v>39600</v>
      </c>
      <c r="I9" s="79">
        <f t="shared" si="4"/>
        <v>2863975</v>
      </c>
      <c r="J9" s="79">
        <f t="shared" si="4"/>
        <v>0</v>
      </c>
      <c r="K9" s="79">
        <f t="shared" si="4"/>
        <v>286955</v>
      </c>
      <c r="L9" s="79">
        <f t="shared" si="4"/>
        <v>1123410</v>
      </c>
      <c r="M9" s="79">
        <f t="shared" si="4"/>
        <v>110000</v>
      </c>
      <c r="N9" s="79">
        <f t="shared" si="4"/>
        <v>0</v>
      </c>
      <c r="O9" s="79">
        <f t="shared" si="4"/>
        <v>5500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3530168</v>
      </c>
      <c r="D10" s="143">
        <f>SUMIFS('Plan rashoda za unos u SAP'!$I$3:$I$501,'Plan rashoda za unos u SAP'!$C$3:$C$501,"=11",'Plan rashoda za unos u SAP'!$M$3:$M$501,"=321")</f>
        <v>2186769.9999999995</v>
      </c>
      <c r="E10" s="143">
        <f>SUMIFS('Plan rashoda za unos u SAP'!$I$3:$I$501,'Plan rashoda za unos u SAP'!$C$3:$C$501,"=12",'Plan rashoda za unos u SAP'!$M$3:$M$501,"=321")</f>
        <v>22848</v>
      </c>
      <c r="F10" s="143">
        <f>SUMIFS('Plan rashoda za unos u SAP'!$I$3:$I$501,'Plan rashoda za unos u SAP'!$C$3:$C$501,"=31",'Plan rashoda za unos u SAP'!$M$3:$M$501,"=321")</f>
        <v>347900</v>
      </c>
      <c r="G10" s="143">
        <f>SUMIFS('Plan rashoda za unos u SAP'!$I$3:$I$501,'Plan rashoda za unos u SAP'!$C$3:$C$501,"=43",'Plan rashoda za unos u SAP'!$M$3:$M$501,"=321")</f>
        <v>532500</v>
      </c>
      <c r="H10" s="143">
        <f>SUMIFS('Plan rashoda za unos u SAP'!$I$3:$I$501,'Plan rashoda za unos u SAP'!$C$3:$C$501,"=51",'Plan rashoda za unos u SAP'!$M$3:$M$501,"=321")</f>
        <v>39600</v>
      </c>
      <c r="I10" s="143">
        <f>SUMIFS('Plan rashoda za unos u SAP'!$I$3:$I$501,'Plan rashoda za unos u SAP'!$C$3:$C$501,"=52",'Plan rashoda za unos u SAP'!$M$3:$M$501,"=321")</f>
        <v>225400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96386</v>
      </c>
      <c r="L10" s="143">
        <f>SUMIFS('Plan rashoda za unos u SAP'!$I$3:$I$501,'Plan rashoda za unos u SAP'!$C$3:$C$501,"=563",'Plan rashoda za unos u SAP'!$M$3:$M$501,"=321")</f>
        <v>78764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6546975</v>
      </c>
      <c r="D11" s="143">
        <f>SUMIFS('Plan rashoda za unos u SAP'!$I$3:$I$501,'Plan rashoda za unos u SAP'!$C$3:$C$501,"=11",'Plan rashoda za unos u SAP'!$M$3:$M$501,"=322")</f>
        <v>1443998.0321507747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1237400</v>
      </c>
      <c r="G11" s="143">
        <f>SUMIFS('Plan rashoda za unos u SAP'!$I$3:$I$501,'Plan rashoda za unos u SAP'!$C$3:$C$501,"=43",'Plan rashoda za unos u SAP'!$M$3:$M$501,"=322")</f>
        <v>1284500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1685310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64836</v>
      </c>
      <c r="L11" s="143">
        <f>SUMIFS('Plan rashoda za unos u SAP'!$I$3:$I$501,'Plan rashoda za unos u SAP'!$C$3:$C$501,"=563",'Plan rashoda za unos u SAP'!$M$3:$M$501,"=322")</f>
        <v>812811</v>
      </c>
      <c r="M11" s="143">
        <f>SUMIFS('Plan rashoda za unos u SAP'!$I$3:$I$501,'Plan rashoda za unos u SAP'!$C$3:$C$501,"=61",'Plan rashoda za unos u SAP'!$M$3:$M$501,"=322")</f>
        <v>14620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3500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7094363</v>
      </c>
      <c r="D12" s="143">
        <f>SUMIFS('Plan rashoda za unos u SAP'!$I$3:$I$501,'Plan rashoda za unos u SAP'!$C$3:$C$501,"=11",'Plan rashoda za unos u SAP'!$M$3:$M$501,"=323")</f>
        <v>3151200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1528300</v>
      </c>
      <c r="G12" s="143">
        <f>SUMIFS('Plan rashoda za unos u SAP'!$I$3:$I$501,'Plan rashoda za unos u SAP'!$C$3:$C$501,"=43",'Plan rashoda za unos u SAP'!$M$3:$M$501,"=323")</f>
        <v>1264200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806665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105033</v>
      </c>
      <c r="L12" s="143">
        <f>SUMIFS('Plan rashoda za unos u SAP'!$I$3:$I$501,'Plan rashoda za unos u SAP'!$C$3:$C$501,"=563",'Plan rashoda za unos u SAP'!$M$3:$M$501,"=323")</f>
        <v>194755</v>
      </c>
      <c r="M12" s="143">
        <f>SUMIFS('Plan rashoda za unos u SAP'!$I$3:$I$501,'Plan rashoda za unos u SAP'!$C$3:$C$501,"=61",'Plan rashoda za unos u SAP'!$M$3:$M$501,"=323")</f>
        <v>42210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2000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200290</v>
      </c>
      <c r="D13" s="143">
        <f>SUMIFS('Plan rashoda za unos u SAP'!$I$3:$I$501,'Plan rashoda za unos u SAP'!$C$3:$C$501,"=11",'Plan rashoda za unos u SAP'!$M$3:$M$501,"=324")</f>
        <v>24600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51900</v>
      </c>
      <c r="G13" s="143">
        <f>SUMIFS('Plan rashoda za unos u SAP'!$I$3:$I$501,'Plan rashoda za unos u SAP'!$C$3:$C$501,"=43",'Plan rashoda za unos u SAP'!$M$3:$M$501,"=324")</f>
        <v>79500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24400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9890</v>
      </c>
      <c r="M13" s="143">
        <f>SUMIFS('Plan rashoda za unos u SAP'!$I$3:$I$501,'Plan rashoda za unos u SAP'!$C$3:$C$501,"=61",'Plan rashoda za unos u SAP'!$M$3:$M$501,"=324")</f>
        <v>10000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1244960</v>
      </c>
      <c r="D14" s="143">
        <f>SUMIFS('Plan rashoda za unos u SAP'!$I$3:$I$501,'Plan rashoda za unos u SAP'!$C$3:$C$501,"=11",'Plan rashoda za unos u SAP'!$M$3:$M$501,"=329")</f>
        <v>584500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178900</v>
      </c>
      <c r="G14" s="143">
        <f>SUMIFS('Plan rashoda za unos u SAP'!$I$3:$I$501,'Plan rashoda za unos u SAP'!$C$3:$C$501,"=43",'Plan rashoda za unos u SAP'!$M$3:$M$501,"=329")</f>
        <v>268300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122200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20700</v>
      </c>
      <c r="L14" s="143">
        <f>SUMIFS('Plan rashoda za unos u SAP'!$I$3:$I$501,'Plan rashoda za unos u SAP'!$C$3:$C$501,"=563",'Plan rashoda za unos u SAP'!$M$3:$M$501,"=329")</f>
        <v>27190</v>
      </c>
      <c r="M14" s="143">
        <f>SUMIFS('Plan rashoda za unos u SAP'!$I$3:$I$501,'Plan rashoda za unos u SAP'!$C$3:$C$501,"=61",'Plan rashoda za unos u SAP'!$M$3:$M$501,"=329")</f>
        <v>43170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85820</v>
      </c>
      <c r="D15" s="4">
        <f t="shared" ref="D15:P15" si="5">SUM(D16:D18)</f>
        <v>43300</v>
      </c>
      <c r="E15" s="4">
        <f t="shared" si="5"/>
        <v>0</v>
      </c>
      <c r="F15" s="4">
        <f t="shared" si="5"/>
        <v>21000</v>
      </c>
      <c r="G15" s="4">
        <f t="shared" si="5"/>
        <v>10200</v>
      </c>
      <c r="H15" s="4">
        <f t="shared" si="5"/>
        <v>2820</v>
      </c>
      <c r="I15" s="4">
        <f t="shared" si="5"/>
        <v>7000</v>
      </c>
      <c r="J15" s="4">
        <f t="shared" si="5"/>
        <v>0</v>
      </c>
      <c r="K15" s="4">
        <f t="shared" si="5"/>
        <v>0</v>
      </c>
      <c r="L15" s="4">
        <f t="shared" si="5"/>
        <v>1500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348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349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85820</v>
      </c>
      <c r="D18" s="143">
        <f>SUMIFS('Plan rashoda za unos u SAP'!$I$3:$I$501,'Plan rashoda za unos u SAP'!$C$3:$C$501,"=11",'Plan rashoda za unos u SAP'!$M$3:$M$501,"=343")</f>
        <v>43300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21000</v>
      </c>
      <c r="G18" s="143">
        <f>SUMIFS('Plan rashoda za unos u SAP'!$I$3:$I$501,'Plan rashoda za unos u SAP'!$C$3:$C$501,"=43",'Plan rashoda za unos u SAP'!$M$3:$M$501,"=343")</f>
        <v>10200</v>
      </c>
      <c r="H18" s="143">
        <f>SUMIFS('Plan rashoda za unos u SAP'!$I$3:$I$501,'Plan rashoda za unos u SAP'!$C$3:$C$501,"=51",'Plan rashoda za unos u SAP'!$M$3:$M$501,"=343")</f>
        <v>2820</v>
      </c>
      <c r="I18" s="143">
        <f>SUMIFS('Plan rashoda za unos u SAP'!$I$3:$I$501,'Plan rashoda za unos u SAP'!$C$3:$C$501,"=52",'Plan rashoda za unos u SAP'!$M$3:$M$501,"=343")</f>
        <v>7000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1500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350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351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352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353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354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355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356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310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357</v>
      </c>
      <c r="C30" s="4">
        <f t="shared" si="2"/>
        <v>27000</v>
      </c>
      <c r="D30" s="4">
        <f t="shared" ref="D30:P30" si="8">SUM(D31:D32)</f>
        <v>4000</v>
      </c>
      <c r="E30" s="4">
        <f t="shared" si="8"/>
        <v>0</v>
      </c>
      <c r="F30" s="4">
        <f t="shared" si="8"/>
        <v>9000</v>
      </c>
      <c r="G30" s="4">
        <f t="shared" si="8"/>
        <v>14000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358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27000</v>
      </c>
      <c r="D32" s="143">
        <f>SUMIFS('Plan rashoda za unos u SAP'!$I$3:$I$501,'Plan rashoda za unos u SAP'!$C$3:$C$501,"=11",'Plan rashoda za unos u SAP'!$M$3:$M$501,"=372")</f>
        <v>4000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9000</v>
      </c>
      <c r="G32" s="143">
        <f>SUMIFS('Plan rashoda za unos u SAP'!$I$3:$I$501,'Plan rashoda za unos u SAP'!$C$3:$C$501,"=43",'Plan rashoda za unos u SAP'!$M$3:$M$501,"=372")</f>
        <v>14000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20500</v>
      </c>
      <c r="D33" s="4">
        <f t="shared" ref="D33:P33" si="9">SUM(D34:D37)</f>
        <v>16000</v>
      </c>
      <c r="E33" s="4">
        <f t="shared" si="9"/>
        <v>0</v>
      </c>
      <c r="F33" s="4">
        <f t="shared" si="9"/>
        <v>4500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20500</v>
      </c>
      <c r="D34" s="143">
        <f>SUMIFS('Plan rashoda za unos u SAP'!$I$3:$I$501,'Plan rashoda za unos u SAP'!$C$3:$C$501,"=11",'Plan rashoda za unos u SAP'!$M$3:$M$501,"=381")</f>
        <v>16000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4500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359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360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361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6295553</v>
      </c>
      <c r="D38" s="128">
        <f>D42+D49+D51+D53+D39</f>
        <v>1869199.9999999998</v>
      </c>
      <c r="E38" s="128">
        <f t="shared" ref="E38:P38" si="10">E42+E49+E51+E53+E39</f>
        <v>0</v>
      </c>
      <c r="F38" s="128">
        <f t="shared" si="10"/>
        <v>653800</v>
      </c>
      <c r="G38" s="128">
        <f t="shared" si="10"/>
        <v>1340200</v>
      </c>
      <c r="H38" s="128">
        <f t="shared" si="10"/>
        <v>0</v>
      </c>
      <c r="I38" s="128">
        <f t="shared" si="10"/>
        <v>1591125</v>
      </c>
      <c r="J38" s="128">
        <f t="shared" si="10"/>
        <v>0</v>
      </c>
      <c r="K38" s="128">
        <f t="shared" si="10"/>
        <v>267928</v>
      </c>
      <c r="L38" s="128">
        <f t="shared" si="10"/>
        <v>573300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362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363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364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283</v>
      </c>
      <c r="C42" s="4">
        <f t="shared" si="2"/>
        <v>5678253</v>
      </c>
      <c r="D42" s="4">
        <f t="shared" ref="D42:P42" si="12">SUM(D43:D48)</f>
        <v>1839199.9999999998</v>
      </c>
      <c r="E42" s="4">
        <f t="shared" si="12"/>
        <v>0</v>
      </c>
      <c r="F42" s="4">
        <f t="shared" si="12"/>
        <v>585800</v>
      </c>
      <c r="G42" s="4">
        <f t="shared" si="12"/>
        <v>1181500</v>
      </c>
      <c r="H42" s="4">
        <f t="shared" si="12"/>
        <v>0</v>
      </c>
      <c r="I42" s="4">
        <f t="shared" si="12"/>
        <v>1310525</v>
      </c>
      <c r="J42" s="4">
        <f t="shared" si="12"/>
        <v>0</v>
      </c>
      <c r="K42" s="4">
        <f t="shared" si="12"/>
        <v>267928</v>
      </c>
      <c r="L42" s="4">
        <f t="shared" si="12"/>
        <v>493300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5668053</v>
      </c>
      <c r="D44" s="143">
        <f>SUMIFS('Plan rashoda za unos u SAP'!$I$3:$I$501,'Plan rashoda za unos u SAP'!$C$3:$C$501,"=11",'Plan rashoda za unos u SAP'!$M$3:$M$501,"=422")</f>
        <v>1828999.9999999998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585800</v>
      </c>
      <c r="G44" s="143">
        <f>SUMIFS('Plan rashoda za unos u SAP'!$I$3:$I$501,'Plan rashoda za unos u SAP'!$C$3:$C$501,"=43",'Plan rashoda za unos u SAP'!$M$3:$M$501,"=422")</f>
        <v>1181500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1310525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267928</v>
      </c>
      <c r="L44" s="143">
        <f>SUMIFS('Plan rashoda za unos u SAP'!$I$3:$I$501,'Plan rashoda za unos u SAP'!$C$3:$C$501,"=563",'Plan rashoda za unos u SAP'!$M$3:$M$501,"=422")</f>
        <v>493300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10200</v>
      </c>
      <c r="D46" s="143">
        <f>SUMIFS('Plan rashoda za unos u SAP'!$I$3:$I$501,'Plan rashoda za unos u SAP'!$C$3:$C$501,"=11",'Plan rashoda za unos u SAP'!$M$3:$M$501,"=424")</f>
        <v>10200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365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366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367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367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368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617300</v>
      </c>
      <c r="D53" s="4">
        <f t="shared" ref="D53:P53" si="15">SUM(D54:D57)</f>
        <v>30000</v>
      </c>
      <c r="E53" s="4">
        <f t="shared" si="15"/>
        <v>0</v>
      </c>
      <c r="F53" s="4">
        <f t="shared" si="15"/>
        <v>68000</v>
      </c>
      <c r="G53" s="4">
        <f t="shared" si="15"/>
        <v>158700</v>
      </c>
      <c r="H53" s="4">
        <f t="shared" si="15"/>
        <v>0</v>
      </c>
      <c r="I53" s="4">
        <f t="shared" si="15"/>
        <v>280600</v>
      </c>
      <c r="J53" s="4">
        <f t="shared" si="15"/>
        <v>0</v>
      </c>
      <c r="K53" s="4">
        <f t="shared" si="15"/>
        <v>0</v>
      </c>
      <c r="L53" s="4">
        <f t="shared" si="15"/>
        <v>80000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617300</v>
      </c>
      <c r="D55" s="143">
        <f>SUMIFS('Plan rashoda za unos u SAP'!$I$3:$I$501,'Plan rashoda za unos u SAP'!$C$3:$C$501,"=11",'Plan rashoda za unos u SAP'!$M$3:$M$501,"=452")</f>
        <v>30000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68000</v>
      </c>
      <c r="G55" s="143">
        <f>SUMIFS('Plan rashoda za unos u SAP'!$I$3:$I$501,'Plan rashoda za unos u SAP'!$C$3:$C$501,"=43",'Plan rashoda za unos u SAP'!$M$3:$M$501,"=452")</f>
        <v>158700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280600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80000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379</v>
      </c>
      <c r="C59" s="79">
        <f>ROUND(SUM(D59:P59),0)</f>
        <v>0</v>
      </c>
      <c r="D59" s="13">
        <f>+D60</f>
        <v>0</v>
      </c>
      <c r="E59" s="13">
        <f>+E60</f>
        <v>0</v>
      </c>
      <c r="F59" s="13">
        <f>+F60</f>
        <v>0</v>
      </c>
      <c r="G59" s="13">
        <f>+G60</f>
        <v>0</v>
      </c>
      <c r="H59" s="13">
        <f>SUM(H60:H62)</f>
        <v>0</v>
      </c>
      <c r="I59" s="13">
        <f t="shared" ref="I59:P59" si="17">SUM(I60:I62)</f>
        <v>0</v>
      </c>
      <c r="J59" s="13">
        <f t="shared" si="17"/>
        <v>0</v>
      </c>
      <c r="K59" s="13">
        <f t="shared" si="17"/>
        <v>0</v>
      </c>
      <c r="L59" s="13">
        <f t="shared" si="17"/>
        <v>0</v>
      </c>
      <c r="M59" s="13">
        <f t="shared" si="17"/>
        <v>0</v>
      </c>
      <c r="N59" s="13">
        <f t="shared" si="17"/>
        <v>0</v>
      </c>
      <c r="O59" s="13">
        <f t="shared" si="17"/>
        <v>0</v>
      </c>
      <c r="P59" s="13">
        <f t="shared" si="17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385</v>
      </c>
      <c r="C60" s="79">
        <f t="shared" ref="C60:C68" si="18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386</v>
      </c>
      <c r="C61" s="79">
        <f t="shared" si="18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387</v>
      </c>
      <c r="C62" s="79">
        <f t="shared" si="18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380</v>
      </c>
      <c r="C63" s="79">
        <f t="shared" si="18"/>
        <v>0</v>
      </c>
      <c r="D63" s="13">
        <f>SUM(D64:D68)</f>
        <v>0</v>
      </c>
      <c r="E63" s="13">
        <f t="shared" ref="E63:P63" si="19">SUM(E64:E68)</f>
        <v>0</v>
      </c>
      <c r="F63" s="13">
        <f t="shared" si="19"/>
        <v>0</v>
      </c>
      <c r="G63" s="13">
        <f t="shared" si="19"/>
        <v>0</v>
      </c>
      <c r="H63" s="13">
        <f>SUM(H64:H68)</f>
        <v>0</v>
      </c>
      <c r="I63" s="13">
        <f t="shared" si="19"/>
        <v>0</v>
      </c>
      <c r="J63" s="13">
        <f t="shared" si="19"/>
        <v>0</v>
      </c>
      <c r="K63" s="13">
        <f t="shared" si="19"/>
        <v>0</v>
      </c>
      <c r="L63" s="13">
        <f t="shared" si="19"/>
        <v>0</v>
      </c>
      <c r="M63" s="13">
        <f t="shared" si="19"/>
        <v>0</v>
      </c>
      <c r="N63" s="13">
        <f t="shared" si="19"/>
        <v>0</v>
      </c>
      <c r="O63" s="13">
        <f t="shared" si="19"/>
        <v>0</v>
      </c>
      <c r="P63" s="13">
        <f t="shared" si="19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388</v>
      </c>
      <c r="C64" s="79">
        <f t="shared" si="18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389</v>
      </c>
      <c r="C65" s="79">
        <f t="shared" si="18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390</v>
      </c>
      <c r="C66" s="79">
        <f t="shared" si="18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391</v>
      </c>
      <c r="C67" s="79">
        <f t="shared" si="18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392</v>
      </c>
      <c r="C68" s="79">
        <f t="shared" si="18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377</v>
      </c>
      <c r="D70" s="2" t="s">
        <v>52</v>
      </c>
      <c r="E70" s="2" t="s">
        <v>347</v>
      </c>
      <c r="F70" s="94" t="s">
        <v>19</v>
      </c>
      <c r="G70" s="94" t="s">
        <v>20</v>
      </c>
      <c r="H70" s="94" t="s">
        <v>295</v>
      </c>
      <c r="I70" s="94" t="s">
        <v>296</v>
      </c>
      <c r="J70" s="94" t="s">
        <v>297</v>
      </c>
      <c r="K70" s="94" t="s">
        <v>298</v>
      </c>
      <c r="L70" s="94" t="s">
        <v>299</v>
      </c>
      <c r="M70" s="94" t="s">
        <v>300</v>
      </c>
      <c r="N70" s="94" t="s">
        <v>301</v>
      </c>
      <c r="O70" s="94" t="s">
        <v>217</v>
      </c>
      <c r="P70" s="94" t="s">
        <v>1661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381</v>
      </c>
      <c r="C71" s="122">
        <f>SUM(D71:P71)</f>
        <v>73986716.992791921</v>
      </c>
      <c r="D71" s="123">
        <f t="shared" ref="D71:P71" si="20">+D72+D80+D86</f>
        <v>49783584.516692206</v>
      </c>
      <c r="E71" s="123">
        <f t="shared" si="20"/>
        <v>515515</v>
      </c>
      <c r="F71" s="123">
        <f t="shared" si="20"/>
        <v>8363505.7800000021</v>
      </c>
      <c r="G71" s="123">
        <f t="shared" si="20"/>
        <v>6751733.2200000007</v>
      </c>
      <c r="H71" s="123">
        <f t="shared" si="20"/>
        <v>0</v>
      </c>
      <c r="I71" s="123">
        <f t="shared" si="20"/>
        <v>5590036.4799999995</v>
      </c>
      <c r="J71" s="123">
        <f t="shared" si="20"/>
        <v>0</v>
      </c>
      <c r="K71" s="123">
        <f t="shared" si="20"/>
        <v>1045000.9960997151</v>
      </c>
      <c r="L71" s="123">
        <f t="shared" si="20"/>
        <v>1819399</v>
      </c>
      <c r="M71" s="123">
        <f t="shared" si="20"/>
        <v>112442</v>
      </c>
      <c r="N71" s="123">
        <f t="shared" si="20"/>
        <v>0</v>
      </c>
      <c r="O71" s="123">
        <f t="shared" si="20"/>
        <v>5500</v>
      </c>
      <c r="P71" s="123">
        <f t="shared" si="20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67737532</v>
      </c>
      <c r="D72" s="132">
        <f t="shared" ref="D72:P72" si="21">SUM(D73:D79)</f>
        <v>47872888.276692204</v>
      </c>
      <c r="E72" s="132">
        <f t="shared" si="21"/>
        <v>515515</v>
      </c>
      <c r="F72" s="132">
        <f t="shared" si="21"/>
        <v>7695191.4200000018</v>
      </c>
      <c r="G72" s="132">
        <f t="shared" si="21"/>
        <v>5381780.7800000012</v>
      </c>
      <c r="H72" s="132">
        <f t="shared" si="21"/>
        <v>0</v>
      </c>
      <c r="I72" s="132">
        <f t="shared" si="21"/>
        <v>3963587.9649999994</v>
      </c>
      <c r="J72" s="132">
        <f t="shared" si="21"/>
        <v>0</v>
      </c>
      <c r="K72" s="132">
        <f t="shared" si="21"/>
        <v>942527.99609971512</v>
      </c>
      <c r="L72" s="132">
        <f t="shared" si="21"/>
        <v>1248099</v>
      </c>
      <c r="M72" s="132">
        <f t="shared" si="21"/>
        <v>112442</v>
      </c>
      <c r="N72" s="132">
        <f t="shared" si="21"/>
        <v>0</v>
      </c>
      <c r="O72" s="132">
        <f t="shared" si="21"/>
        <v>5500</v>
      </c>
      <c r="P72" s="132">
        <f t="shared" si="21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48302974</v>
      </c>
      <c r="D73" s="143">
        <f>SUMIFS('Plan rashoda za unos u SAP'!$J$3:$J$501,'Plan rashoda za unos u SAP'!$C$3:$C$501,"=11",'Plan rashoda za unos u SAP'!$N$3:$N$501,"=31")</f>
        <v>39909820.457292207</v>
      </c>
      <c r="E73" s="143">
        <f>SUMIFS('Plan rashoda za unos u SAP'!$J$3:$J$501,'Plan rashoda za unos u SAP'!$C$3:$C$501,"=12",'Plan rashoda za unos u SAP'!$N$3:$N$501,"=31")</f>
        <v>492667</v>
      </c>
      <c r="F73" s="143">
        <f>SUMIFS('Plan rashoda za unos u SAP'!$J$3:$J$501,'Plan rashoda za unos u SAP'!$C$3:$C$501,"=31",'Plan rashoda za unos u SAP'!$N$3:$N$501,"=31")</f>
        <v>4254089.74</v>
      </c>
      <c r="G73" s="143">
        <f>SUMIFS('Plan rashoda za unos u SAP'!$J$3:$J$501,'Plan rashoda za unos u SAP'!$C$3:$C$501,"=43",'Plan rashoda za unos u SAP'!$N$3:$N$501,"=31")</f>
        <v>1851919.74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993754.32000000007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680872</v>
      </c>
      <c r="L73" s="143">
        <f>SUMIFS('Plan rashoda za unos u SAP'!$J$3:$J$501,'Plan rashoda za unos u SAP'!$C$3:$C$501,"=563",'Plan rashoda za unos u SAP'!$N$3:$N$501,"=31")</f>
        <v>119851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2">ROUND(SUM(D74:P74),0)</f>
        <v>19299194</v>
      </c>
      <c r="D74" s="143">
        <f>SUMIFS('Plan rashoda za unos u SAP'!$J$3:$J$501,'Plan rashoda za unos u SAP'!$C$3:$C$501,"=11",'Plan rashoda za unos u SAP'!$N$3:$N$501,"=32")</f>
        <v>7898362.5593999978</v>
      </c>
      <c r="E74" s="143">
        <f>SUMIFS('Plan rashoda za unos u SAP'!$J$3:$J$501,'Plan rashoda za unos u SAP'!$C$3:$C$501,"=12",'Plan rashoda za unos u SAP'!$N$3:$N$501,"=32")</f>
        <v>22848</v>
      </c>
      <c r="F74" s="143">
        <f>SUMIFS('Plan rashoda za unos u SAP'!$J$3:$J$501,'Plan rashoda za unos u SAP'!$C$3:$C$501,"=31",'Plan rashoda za unos u SAP'!$N$3:$N$501,"=32")</f>
        <v>3405835.7800000007</v>
      </c>
      <c r="G74" s="143">
        <f>SUMIFS('Plan rashoda za unos u SAP'!$J$3:$J$501,'Plan rashoda za unos u SAP'!$C$3:$C$501,"=43",'Plan rashoda za unos u SAP'!$N$3:$N$501,"=32")</f>
        <v>3505123.8000000007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2960678.2449999996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261655.99609971518</v>
      </c>
      <c r="L74" s="143">
        <f>SUMIFS('Plan rashoda za unos u SAP'!$J$3:$J$501,'Plan rashoda za unos u SAP'!$C$3:$C$501,"=563",'Plan rashoda za unos u SAP'!$N$3:$N$501,"=32")</f>
        <v>1126748</v>
      </c>
      <c r="M74" s="143">
        <f>SUMIFS('Plan rashoda za unos u SAP'!$J$3:$J$501,'Plan rashoda za unos u SAP'!$C$3:$C$501,"=61",'Plan rashoda za unos u SAP'!$N$3:$N$501,"=32")</f>
        <v>112442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5500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2"/>
        <v>86809</v>
      </c>
      <c r="D75" s="143">
        <f>SUMIFS('Plan rashoda za unos u SAP'!$J$3:$J$501,'Plan rashoda za unos u SAP'!$C$3:$C$501,"=11",'Plan rashoda za unos u SAP'!$N$3:$N$501,"=34")</f>
        <v>44261.259999999995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21466.200000000004</v>
      </c>
      <c r="G75" s="143">
        <f>SUMIFS('Plan rashoda za unos u SAP'!$J$3:$J$501,'Plan rashoda za unos u SAP'!$C$3:$C$501,"=43",'Plan rashoda za unos u SAP'!$N$3:$N$501,"=34")</f>
        <v>10426.44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9155.4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1500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350</v>
      </c>
      <c r="C76" s="135">
        <f t="shared" si="22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2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357</v>
      </c>
      <c r="C78" s="135">
        <f t="shared" si="22"/>
        <v>27599</v>
      </c>
      <c r="D78" s="143">
        <f>SUMIFS('Plan rashoda za unos u SAP'!$J$3:$J$501,'Plan rashoda za unos u SAP'!$C$3:$C$501,"=11",'Plan rashoda za unos u SAP'!$N$3:$N$501,"=37")</f>
        <v>4088.7999999999997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9199.7999999999993</v>
      </c>
      <c r="G78" s="143">
        <f>SUMIFS('Plan rashoda za unos u SAP'!$J$3:$J$501,'Plan rashoda za unos u SAP'!$C$3:$C$501,"=43",'Plan rashoda za unos u SAP'!$N$3:$N$501,"=37")</f>
        <v>14310.8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2"/>
        <v>20955</v>
      </c>
      <c r="D79" s="143">
        <f>SUMIFS('Plan rashoda za unos u SAP'!$J$3:$J$501,'Plan rashoda za unos u SAP'!$C$3:$C$501,"=11",'Plan rashoda za unos u SAP'!$N$3:$N$501,"=38")</f>
        <v>16355.199999999999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4599.8999999999996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6249185</v>
      </c>
      <c r="D80" s="133">
        <f t="shared" ref="D80:P80" si="23">SUM(D81:D85)</f>
        <v>1910696.2399999998</v>
      </c>
      <c r="E80" s="133">
        <f t="shared" si="23"/>
        <v>0</v>
      </c>
      <c r="F80" s="133">
        <f t="shared" si="23"/>
        <v>668314.36</v>
      </c>
      <c r="G80" s="133">
        <f t="shared" si="23"/>
        <v>1369952.44</v>
      </c>
      <c r="H80" s="133">
        <f t="shared" si="23"/>
        <v>0</v>
      </c>
      <c r="I80" s="133">
        <f t="shared" si="23"/>
        <v>1626448.5150000001</v>
      </c>
      <c r="J80" s="133">
        <f t="shared" si="23"/>
        <v>0</v>
      </c>
      <c r="K80" s="133">
        <f t="shared" si="23"/>
        <v>102473</v>
      </c>
      <c r="L80" s="133">
        <f t="shared" si="23"/>
        <v>571300</v>
      </c>
      <c r="M80" s="133">
        <f t="shared" si="23"/>
        <v>0</v>
      </c>
      <c r="N80" s="133">
        <f t="shared" si="23"/>
        <v>0</v>
      </c>
      <c r="O80" s="133">
        <f t="shared" si="23"/>
        <v>0</v>
      </c>
      <c r="P80" s="133">
        <f t="shared" si="23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362</v>
      </c>
      <c r="C81" s="135">
        <f t="shared" si="22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283</v>
      </c>
      <c r="C82" s="135">
        <f t="shared" si="22"/>
        <v>5619956</v>
      </c>
      <c r="D82" s="143">
        <f>SUMIFS('Plan rashoda za unos u SAP'!$J$3:$J$501,'Plan rashoda za unos u SAP'!$C$3:$C$501,"=11",'Plan rashoda za unos u SAP'!$N$3:$N$501,"=42")</f>
        <v>1880030.2399999998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598804.76</v>
      </c>
      <c r="G82" s="143">
        <f>SUMIFS('Plan rashoda za unos u SAP'!$J$3:$J$501,'Plan rashoda za unos u SAP'!$C$3:$C$501,"=43",'Plan rashoda za unos u SAP'!$N$3:$N$501,"=42")</f>
        <v>1207729.3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1339619.1950000001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102473</v>
      </c>
      <c r="L82" s="143">
        <f>SUMIFS('Plan rashoda za unos u SAP'!$J$3:$J$501,'Plan rashoda za unos u SAP'!$C$3:$C$501,"=563",'Plan rashoda za unos u SAP'!$N$3:$N$501,"=42")</f>
        <v>491300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366</v>
      </c>
      <c r="C83" s="135">
        <f t="shared" si="22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367</v>
      </c>
      <c r="C84" s="135">
        <f t="shared" si="22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2"/>
        <v>629228</v>
      </c>
      <c r="D85" s="143">
        <f>SUMIFS('Plan rashoda za unos u SAP'!$J$3:$J$501,'Plan rashoda za unos u SAP'!$C$3:$C$501,"=11",'Plan rashoda za unos u SAP'!$N$3:$N$501,"=45")</f>
        <v>30666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69509.600000000006</v>
      </c>
      <c r="G85" s="143">
        <f>SUMIFS('Plan rashoda za unos u SAP'!$J$3:$J$501,'Plan rashoda za unos u SAP'!$C$3:$C$501,"=43",'Plan rashoda za unos u SAP'!$N$3:$N$501,"=45")</f>
        <v>162223.14000000001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286829.32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80000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4">SUM(D87:D88)</f>
        <v>0</v>
      </c>
      <c r="E86" s="127">
        <f t="shared" si="24"/>
        <v>0</v>
      </c>
      <c r="F86" s="127">
        <f t="shared" si="24"/>
        <v>0</v>
      </c>
      <c r="G86" s="127">
        <f t="shared" si="24"/>
        <v>0</v>
      </c>
      <c r="H86" s="127">
        <f t="shared" si="24"/>
        <v>0</v>
      </c>
      <c r="I86" s="127">
        <f t="shared" si="24"/>
        <v>0</v>
      </c>
      <c r="J86" s="127">
        <f t="shared" si="24"/>
        <v>0</v>
      </c>
      <c r="K86" s="127">
        <f t="shared" si="24"/>
        <v>0</v>
      </c>
      <c r="L86" s="127">
        <f t="shared" si="24"/>
        <v>0</v>
      </c>
      <c r="M86" s="127">
        <f t="shared" si="24"/>
        <v>0</v>
      </c>
      <c r="N86" s="127">
        <f t="shared" si="24"/>
        <v>0</v>
      </c>
      <c r="O86" s="127">
        <f t="shared" si="24"/>
        <v>0</v>
      </c>
      <c r="P86" s="127">
        <f t="shared" si="24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379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380</v>
      </c>
      <c r="C88" s="79">
        <f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378</v>
      </c>
      <c r="D90" s="2" t="s">
        <v>52</v>
      </c>
      <c r="E90" s="2" t="s">
        <v>347</v>
      </c>
      <c r="F90" s="94" t="s">
        <v>19</v>
      </c>
      <c r="G90" s="94" t="s">
        <v>20</v>
      </c>
      <c r="H90" s="94" t="s">
        <v>295</v>
      </c>
      <c r="I90" s="94" t="s">
        <v>296</v>
      </c>
      <c r="J90" s="94" t="s">
        <v>297</v>
      </c>
      <c r="K90" s="94" t="s">
        <v>298</v>
      </c>
      <c r="L90" s="94" t="s">
        <v>299</v>
      </c>
      <c r="M90" s="94" t="s">
        <v>300</v>
      </c>
      <c r="N90" s="94" t="s">
        <v>301</v>
      </c>
      <c r="O90" s="94" t="s">
        <v>217</v>
      </c>
      <c r="P90" s="94" t="s">
        <v>1662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372</v>
      </c>
      <c r="C91" s="122">
        <f>SUM(D91:P91)</f>
        <v>74294887.205758169</v>
      </c>
      <c r="D91" s="123">
        <f t="shared" ref="D91:P91" si="25">D92+D100+D106</f>
        <v>49902920.791694164</v>
      </c>
      <c r="E91" s="123">
        <f t="shared" si="25"/>
        <v>524268</v>
      </c>
      <c r="F91" s="123">
        <f t="shared" si="25"/>
        <v>8440450.6185120009</v>
      </c>
      <c r="G91" s="123">
        <f t="shared" si="25"/>
        <v>6813849.1656240001</v>
      </c>
      <c r="H91" s="123">
        <f t="shared" si="25"/>
        <v>0</v>
      </c>
      <c r="I91" s="123">
        <f t="shared" si="25"/>
        <v>5640703.1635280009</v>
      </c>
      <c r="J91" s="123">
        <f t="shared" si="25"/>
        <v>0</v>
      </c>
      <c r="K91" s="123">
        <f t="shared" si="25"/>
        <v>1023955</v>
      </c>
      <c r="L91" s="123">
        <f t="shared" si="25"/>
        <v>1829764</v>
      </c>
      <c r="M91" s="123">
        <f t="shared" si="25"/>
        <v>113476.46640000002</v>
      </c>
      <c r="N91" s="123">
        <f t="shared" si="25"/>
        <v>0</v>
      </c>
      <c r="O91" s="123">
        <f t="shared" si="25"/>
        <v>5500</v>
      </c>
      <c r="P91" s="123">
        <f t="shared" si="25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68029032</v>
      </c>
      <c r="D92" s="132">
        <f t="shared" ref="D92:P92" si="26">SUM(D93:D99)</f>
        <v>47982196.093344308</v>
      </c>
      <c r="E92" s="132">
        <f t="shared" si="26"/>
        <v>524268</v>
      </c>
      <c r="F92" s="132">
        <f t="shared" si="26"/>
        <v>7765987.766400001</v>
      </c>
      <c r="G92" s="132">
        <f t="shared" si="26"/>
        <v>5431293.1631760001</v>
      </c>
      <c r="H92" s="132">
        <f t="shared" si="26"/>
        <v>0</v>
      </c>
      <c r="I92" s="132">
        <f t="shared" si="26"/>
        <v>3999291.8671580004</v>
      </c>
      <c r="J92" s="132">
        <f t="shared" si="26"/>
        <v>0</v>
      </c>
      <c r="K92" s="132">
        <f t="shared" si="26"/>
        <v>951255</v>
      </c>
      <c r="L92" s="132">
        <f t="shared" si="26"/>
        <v>1255764</v>
      </c>
      <c r="M92" s="132">
        <f t="shared" si="26"/>
        <v>113476.46640000002</v>
      </c>
      <c r="N92" s="132">
        <f t="shared" si="26"/>
        <v>0</v>
      </c>
      <c r="O92" s="132">
        <f t="shared" si="26"/>
        <v>5500</v>
      </c>
      <c r="P92" s="132">
        <f t="shared" si="26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48465191</v>
      </c>
      <c r="D93" s="143">
        <f>SUMIFS('Plan rashoda za unos u SAP'!$K$3:$K$501,'Plan rashoda za unos u SAP'!$C$3:$C$501,"=11",'Plan rashoda za unos u SAP'!$N$3:$N$501,"=31")</f>
        <v>39977333.407605998</v>
      </c>
      <c r="E93" s="143">
        <f>SUMIFS('Plan rashoda za unos u SAP'!$K$3:$K$501,'Plan rashoda za unos u SAP'!$C$3:$C$501,"=12",'Plan rashoda za unos u SAP'!$N$3:$N$501,"=31")</f>
        <v>501420</v>
      </c>
      <c r="F93" s="143">
        <f>SUMIFS('Plan rashoda za unos u SAP'!$K$3:$K$501,'Plan rashoda za unos u SAP'!$C$3:$C$501,"=31",'Plan rashoda za unos u SAP'!$N$3:$N$501,"=31")</f>
        <v>4293227.3656080002</v>
      </c>
      <c r="G93" s="143">
        <f>SUMIFS('Plan rashoda za unos u SAP'!$K$3:$K$501,'Plan rashoda za unos u SAP'!$C$3:$C$501,"=43",'Plan rashoda za unos u SAP'!$N$3:$N$501,"=31")</f>
        <v>1868957.4016080003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1002135.099744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696571</v>
      </c>
      <c r="L93" s="143">
        <f>SUMIFS('Plan rashoda za unos u SAP'!$K$3:$K$501,'Plan rashoda za unos u SAP'!$C$3:$C$501,"=563",'Plan rashoda za unos u SAP'!$N$3:$N$501,"=31")</f>
        <v>125547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7">ROUND(SUM(D94:P94),0)</f>
        <v>19427501</v>
      </c>
      <c r="D94" s="143">
        <f>SUMIFS('Plan rashoda za unos u SAP'!$K$3:$K$501,'Plan rashoda za unos u SAP'!$C$3:$C$501,"=11",'Plan rashoda za unos u SAP'!$N$3:$N$501,"=32")</f>
        <v>7939817.8144535078</v>
      </c>
      <c r="E94" s="143">
        <f>SUMIFS('Plan rashoda za unos u SAP'!$K$3:$K$501,'Plan rashoda za unos u SAP'!$C$3:$C$501,"=12",'Plan rashoda za unos u SAP'!$N$3:$N$501,"=32")</f>
        <v>22848</v>
      </c>
      <c r="F94" s="143">
        <f>SUMIFS('Plan rashoda za unos u SAP'!$K$3:$K$501,'Plan rashoda za unos u SAP'!$C$3:$C$501,"=31",'Plan rashoda za unos u SAP'!$N$3:$N$501,"=32")</f>
        <v>3437170.0545120002</v>
      </c>
      <c r="G94" s="143">
        <f>SUMIFS('Plan rashoda za unos u SAP'!$K$3:$K$501,'Plan rashoda za unos u SAP'!$C$3:$C$501,"=43",'Plan rashoda za unos u SAP'!$N$3:$N$501,"=32")</f>
        <v>3537370.9389600004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2987917.1377340006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254684</v>
      </c>
      <c r="L94" s="143">
        <f>SUMIFS('Plan rashoda za unos u SAP'!$K$3:$K$501,'Plan rashoda za unos u SAP'!$C$3:$C$501,"=563",'Plan rashoda za unos u SAP'!$N$3:$N$501,"=32")</f>
        <v>1128717</v>
      </c>
      <c r="M94" s="143">
        <f>SUMIFS('Plan rashoda za unos u SAP'!$K$3:$K$501,'Plan rashoda za unos u SAP'!$C$3:$C$501,"=61",'Plan rashoda za unos u SAP'!$N$3:$N$501,"=32")</f>
        <v>113476.46640000002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5500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7"/>
        <v>87419</v>
      </c>
      <c r="D95" s="143">
        <f>SUMIFS('Plan rashoda za unos u SAP'!$K$3:$K$501,'Plan rashoda za unos u SAP'!$C$3:$C$501,"=11",'Plan rashoda za unos u SAP'!$N$3:$N$501,"=34")</f>
        <v>44493.569141102416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21663.689040000005</v>
      </c>
      <c r="G95" s="143">
        <f>SUMIFS('Plan rashoda za unos u SAP'!$K$3:$K$501,'Plan rashoda za unos u SAP'!$C$3:$C$501,"=43",'Plan rashoda za unos u SAP'!$N$3:$N$501,"=34")</f>
        <v>10522.363248000001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9239.6296800000018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1500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350</v>
      </c>
      <c r="C96" s="135">
        <f t="shared" si="27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7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357</v>
      </c>
      <c r="C98" s="135">
        <f t="shared" si="27"/>
        <v>27837</v>
      </c>
      <c r="D98" s="143">
        <f>SUMIFS('Plan rashoda za unos u SAP'!$K$3:$K$501,'Plan rashoda za unos u SAP'!$C$3:$C$501,"=11",'Plan rashoda za unos u SAP'!$N$3:$N$501,"=37")</f>
        <v>4110.2604287392533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9284.4381599999997</v>
      </c>
      <c r="G98" s="143">
        <f>SUMIFS('Plan rashoda za unos u SAP'!$K$3:$K$501,'Plan rashoda za unos u SAP'!$C$3:$C$501,"=43",'Plan rashoda za unos u SAP'!$N$3:$N$501,"=37")</f>
        <v>14442.459360000001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7"/>
        <v>21083</v>
      </c>
      <c r="D99" s="143">
        <f>SUMIFS('Plan rashoda za unos u SAP'!$K$3:$K$501,'Plan rashoda za unos u SAP'!$C$3:$C$501,"=11",'Plan rashoda za unos u SAP'!$N$3:$N$501,"=38")</f>
        <v>16441.041714957013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4642.2190799999998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6265855</v>
      </c>
      <c r="D100" s="133">
        <f t="shared" ref="D100:P100" si="28">SUM(D101:D105)</f>
        <v>1920724.6983498528</v>
      </c>
      <c r="E100" s="133">
        <f t="shared" si="28"/>
        <v>0</v>
      </c>
      <c r="F100" s="133">
        <f t="shared" si="28"/>
        <v>674462.85211199999</v>
      </c>
      <c r="G100" s="133">
        <f t="shared" si="28"/>
        <v>1382556.002448</v>
      </c>
      <c r="H100" s="133">
        <f t="shared" si="28"/>
        <v>0</v>
      </c>
      <c r="I100" s="133">
        <f t="shared" si="28"/>
        <v>1641411.2963700001</v>
      </c>
      <c r="J100" s="133">
        <f t="shared" si="28"/>
        <v>0</v>
      </c>
      <c r="K100" s="133">
        <f t="shared" si="28"/>
        <v>72700</v>
      </c>
      <c r="L100" s="133">
        <f t="shared" si="28"/>
        <v>574000</v>
      </c>
      <c r="M100" s="133">
        <f t="shared" si="28"/>
        <v>0</v>
      </c>
      <c r="N100" s="133">
        <f t="shared" si="28"/>
        <v>0</v>
      </c>
      <c r="O100" s="133">
        <f t="shared" si="28"/>
        <v>0</v>
      </c>
      <c r="P100" s="133">
        <f t="shared" si="28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362</v>
      </c>
      <c r="C101" s="135">
        <f t="shared" si="27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283</v>
      </c>
      <c r="C102" s="135">
        <f t="shared" si="27"/>
        <v>5631695</v>
      </c>
      <c r="D102" s="143">
        <f>SUMIFS('Plan rashoda za unos u SAP'!$K$3:$K$501,'Plan rashoda za unos u SAP'!$C$3:$C$501,"=11",'Plan rashoda za unos u SAP'!$N$3:$N$501,"=42")</f>
        <v>1889897.7451343085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604313.76379200001</v>
      </c>
      <c r="G102" s="143">
        <f>SUMIFS('Plan rashoda za unos u SAP'!$K$3:$K$501,'Plan rashoda za unos u SAP'!$C$3:$C$501,"=43",'Plan rashoda za unos u SAP'!$N$3:$N$501,"=42")</f>
        <v>1218840.4095600001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1351943.1466260001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72700</v>
      </c>
      <c r="L102" s="143">
        <f>SUMIFS('Plan rashoda za unos u SAP'!$K$3:$K$501,'Plan rashoda za unos u SAP'!$C$3:$C$501,"=563",'Plan rashoda za unos u SAP'!$N$3:$N$501,"=42")</f>
        <v>494000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366</v>
      </c>
      <c r="C103" s="135">
        <f t="shared" si="27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367</v>
      </c>
      <c r="C104" s="135">
        <f t="shared" si="27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7"/>
        <v>634160</v>
      </c>
      <c r="D105" s="143">
        <f>SUMIFS('Plan rashoda za unos u SAP'!$K$3:$K$501,'Plan rashoda za unos u SAP'!$C$3:$C$501,"=11",'Plan rashoda za unos u SAP'!$N$3:$N$501,"=45")</f>
        <v>30826.953215544396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70149.08832000001</v>
      </c>
      <c r="G105" s="143">
        <f>SUMIFS('Plan rashoda za unos u SAP'!$K$3:$K$501,'Plan rashoda za unos u SAP'!$C$3:$C$501,"=43",'Plan rashoda za unos u SAP'!$N$3:$N$501,"=45")</f>
        <v>163715.59288800004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289468.14974400005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80000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29">SUM(E107:E108)</f>
        <v>0</v>
      </c>
      <c r="F106" s="127">
        <f t="shared" si="29"/>
        <v>0</v>
      </c>
      <c r="G106" s="127">
        <f t="shared" si="29"/>
        <v>0</v>
      </c>
      <c r="H106" s="127">
        <f t="shared" si="29"/>
        <v>0</v>
      </c>
      <c r="I106" s="127">
        <f t="shared" si="29"/>
        <v>0</v>
      </c>
      <c r="J106" s="127">
        <f t="shared" si="29"/>
        <v>0</v>
      </c>
      <c r="K106" s="127">
        <f t="shared" si="29"/>
        <v>0</v>
      </c>
      <c r="L106" s="127">
        <f t="shared" si="29"/>
        <v>0</v>
      </c>
      <c r="M106" s="127">
        <f t="shared" si="29"/>
        <v>0</v>
      </c>
      <c r="N106" s="127">
        <f t="shared" si="29"/>
        <v>0</v>
      </c>
      <c r="O106" s="127">
        <f t="shared" si="29"/>
        <v>0</v>
      </c>
      <c r="P106" s="127">
        <f t="shared" si="29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379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380</v>
      </c>
      <c r="C108" s="79">
        <f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4294967295" verticalDpi="4294967295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G26" sqref="G25:G2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22.7109375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1668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238</v>
      </c>
      <c r="B8" s="27"/>
    </row>
    <row r="9" spans="1:8" ht="15.75" thickBot="1"/>
    <row r="10" spans="1:8" ht="15" customHeight="1">
      <c r="A10" s="273" t="s">
        <v>239</v>
      </c>
      <c r="B10" s="275" t="s">
        <v>240</v>
      </c>
      <c r="C10" s="275" t="s">
        <v>241</v>
      </c>
      <c r="D10" s="278" t="s">
        <v>242</v>
      </c>
      <c r="E10" s="271" t="s">
        <v>852</v>
      </c>
      <c r="F10" s="271" t="s">
        <v>243</v>
      </c>
      <c r="G10" s="271" t="s">
        <v>244</v>
      </c>
      <c r="H10" s="271" t="s">
        <v>853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>
        <v>0</v>
      </c>
      <c r="B12" s="31">
        <v>0</v>
      </c>
      <c r="C12" s="32">
        <v>0</v>
      </c>
      <c r="D12" s="216">
        <v>0</v>
      </c>
      <c r="E12" s="33">
        <v>0</v>
      </c>
      <c r="F12" s="34">
        <v>0</v>
      </c>
      <c r="G12" s="35">
        <v>0</v>
      </c>
      <c r="H12" s="36">
        <v>0</v>
      </c>
    </row>
    <row r="13" spans="1:8">
      <c r="A13" s="37">
        <v>0</v>
      </c>
      <c r="B13" s="38">
        <v>0</v>
      </c>
      <c r="C13" s="39">
        <v>0</v>
      </c>
      <c r="D13" s="40">
        <v>0</v>
      </c>
      <c r="E13" s="41">
        <v>0</v>
      </c>
      <c r="F13" s="42">
        <v>0</v>
      </c>
      <c r="G13" s="43">
        <v>0</v>
      </c>
      <c r="H13" s="44">
        <v>0</v>
      </c>
    </row>
    <row r="14" spans="1:8">
      <c r="A14" s="37">
        <v>0</v>
      </c>
      <c r="B14" s="38">
        <v>0</v>
      </c>
      <c r="C14" s="39">
        <v>0</v>
      </c>
      <c r="D14" s="40">
        <v>0</v>
      </c>
      <c r="E14" s="41">
        <v>0</v>
      </c>
      <c r="F14" s="42">
        <v>0</v>
      </c>
      <c r="G14" s="43">
        <v>0</v>
      </c>
      <c r="H14" s="44">
        <v>0</v>
      </c>
    </row>
    <row r="15" spans="1:8">
      <c r="A15" s="37">
        <v>0</v>
      </c>
      <c r="B15" s="38">
        <v>0</v>
      </c>
      <c r="C15" s="39">
        <v>0</v>
      </c>
      <c r="D15" s="40">
        <v>0</v>
      </c>
      <c r="E15" s="41">
        <v>0</v>
      </c>
      <c r="F15" s="42">
        <v>0</v>
      </c>
      <c r="G15" s="43">
        <v>0</v>
      </c>
      <c r="H15" s="44">
        <v>0</v>
      </c>
    </row>
    <row r="16" spans="1:8">
      <c r="A16" s="37">
        <v>0</v>
      </c>
      <c r="B16" s="38">
        <v>0</v>
      </c>
      <c r="C16" s="39">
        <v>0</v>
      </c>
      <c r="D16" s="40">
        <v>0</v>
      </c>
      <c r="E16" s="41">
        <v>0</v>
      </c>
      <c r="F16" s="42">
        <v>0</v>
      </c>
      <c r="G16" s="43">
        <v>0</v>
      </c>
      <c r="H16" s="44">
        <v>0</v>
      </c>
    </row>
    <row r="17" spans="1:23">
      <c r="A17" s="37">
        <v>0</v>
      </c>
      <c r="B17" s="38">
        <v>0</v>
      </c>
      <c r="C17" s="39">
        <v>0</v>
      </c>
      <c r="D17" s="40">
        <v>0</v>
      </c>
      <c r="E17" s="41">
        <v>0</v>
      </c>
      <c r="F17" s="42">
        <v>0</v>
      </c>
      <c r="G17" s="43">
        <v>0</v>
      </c>
      <c r="H17" s="44">
        <v>0</v>
      </c>
    </row>
    <row r="18" spans="1:23">
      <c r="A18" s="37">
        <v>0</v>
      </c>
      <c r="B18" s="38">
        <v>0</v>
      </c>
      <c r="C18" s="39">
        <v>0</v>
      </c>
      <c r="D18" s="40">
        <v>0</v>
      </c>
      <c r="E18" s="41">
        <v>0</v>
      </c>
      <c r="F18" s="42">
        <v>0</v>
      </c>
      <c r="G18" s="43">
        <v>0</v>
      </c>
      <c r="H18" s="44">
        <v>0</v>
      </c>
    </row>
    <row r="19" spans="1:23">
      <c r="A19" s="37">
        <v>0</v>
      </c>
      <c r="B19" s="38">
        <v>0</v>
      </c>
      <c r="C19" s="39">
        <v>0</v>
      </c>
      <c r="D19" s="40">
        <v>0</v>
      </c>
      <c r="E19" s="41">
        <v>0</v>
      </c>
      <c r="F19" s="42">
        <v>0</v>
      </c>
      <c r="G19" s="43">
        <v>0</v>
      </c>
      <c r="H19" s="44">
        <v>0</v>
      </c>
    </row>
    <row r="20" spans="1:23" ht="15.75" thickBot="1">
      <c r="A20" s="45">
        <v>0</v>
      </c>
      <c r="B20" s="46">
        <v>0</v>
      </c>
      <c r="C20" s="47">
        <v>0</v>
      </c>
      <c r="D20" s="48">
        <v>0</v>
      </c>
      <c r="E20" s="49">
        <v>0</v>
      </c>
      <c r="F20" s="50">
        <v>0</v>
      </c>
      <c r="G20" s="51">
        <v>0</v>
      </c>
      <c r="H20" s="52">
        <v>0</v>
      </c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245</v>
      </c>
      <c r="B23" s="56"/>
      <c r="C23" s="57"/>
      <c r="D23" s="57"/>
      <c r="E23" s="57"/>
      <c r="F23" s="57"/>
      <c r="G23" s="58" t="s">
        <v>246</v>
      </c>
      <c r="H23" s="57" t="s">
        <v>1665</v>
      </c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workbookViewId="0">
      <pane ySplit="2" topLeftCell="A3" activePane="bottomLeft" state="frozen"/>
      <selection pane="bottomLeft" activeCell="E20" sqref="E20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854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845</v>
      </c>
      <c r="B2" s="228" t="s">
        <v>58</v>
      </c>
      <c r="C2" s="227" t="s">
        <v>843</v>
      </c>
      <c r="D2" s="228" t="s">
        <v>844</v>
      </c>
      <c r="E2" s="227" t="s">
        <v>855</v>
      </c>
      <c r="F2" s="228" t="s">
        <v>60</v>
      </c>
      <c r="G2" s="229" t="s">
        <v>836</v>
      </c>
      <c r="H2" s="229" t="s">
        <v>837</v>
      </c>
      <c r="I2" s="229" t="s">
        <v>838</v>
      </c>
      <c r="J2" s="229" t="s">
        <v>856</v>
      </c>
      <c r="K2" s="229" t="s">
        <v>857</v>
      </c>
      <c r="L2" s="229" t="s">
        <v>858</v>
      </c>
      <c r="M2" s="229" t="s">
        <v>859</v>
      </c>
      <c r="N2" s="229" t="s">
        <v>860</v>
      </c>
      <c r="P2" s="147" t="s">
        <v>812</v>
      </c>
      <c r="Q2" s="147" t="s">
        <v>813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1094</v>
      </c>
      <c r="F3" s="149" t="str">
        <f>IFERROR(VLOOKUP(E3,$AA$6:$AB$200,2,FALSE),"")</f>
        <v>FITNESS Platforma za e-učenje svih aspekata pakiranja hrane</v>
      </c>
      <c r="G3" s="198">
        <v>29980</v>
      </c>
      <c r="H3" s="198">
        <v>0</v>
      </c>
      <c r="I3" s="198">
        <v>0</v>
      </c>
      <c r="J3" s="226"/>
      <c r="K3" s="225"/>
      <c r="L3" s="225"/>
      <c r="M3" s="226"/>
      <c r="N3" s="226"/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3121</v>
      </c>
      <c r="D4" s="149" t="str">
        <f t="shared" si="0"/>
        <v>Ostali rashodi za zaposlene</v>
      </c>
      <c r="E4" s="201" t="s">
        <v>1094</v>
      </c>
      <c r="F4" s="149" t="str">
        <f t="shared" ref="F4:F67" si="2">IFERROR(VLOOKUP(E4,$AA$6:$AB$200,2,FALSE),"")</f>
        <v>FITNESS Platforma za e-učenje svih aspekata pakiranja hrane</v>
      </c>
      <c r="G4" s="198">
        <v>5000</v>
      </c>
      <c r="H4" s="198">
        <v>0</v>
      </c>
      <c r="I4" s="198">
        <v>0</v>
      </c>
      <c r="J4" s="226"/>
      <c r="K4" s="225"/>
      <c r="L4" s="225"/>
      <c r="M4" s="226"/>
      <c r="N4" s="226"/>
      <c r="P4" s="144" t="str">
        <f t="shared" ref="P4:P67" si="3">LEFT(C4,3)</f>
        <v>312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3132</v>
      </c>
      <c r="D5" s="149" t="str">
        <f t="shared" si="0"/>
        <v>Doprinosi za obvezno zdravstveno osiguranje</v>
      </c>
      <c r="E5" s="201" t="s">
        <v>1094</v>
      </c>
      <c r="F5" s="149" t="str">
        <f t="shared" si="2"/>
        <v>FITNESS Platforma za e-učenje svih aspekata pakiranja hrane</v>
      </c>
      <c r="G5" s="198">
        <v>5000</v>
      </c>
      <c r="H5" s="198">
        <v>0</v>
      </c>
      <c r="I5" s="198">
        <v>0</v>
      </c>
      <c r="J5" s="226"/>
      <c r="K5" s="225"/>
      <c r="L5" s="225"/>
      <c r="M5" s="226"/>
      <c r="N5" s="226"/>
      <c r="P5" s="144" t="str">
        <f t="shared" si="3"/>
        <v>313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1094</v>
      </c>
      <c r="F6" s="149" t="str">
        <f t="shared" si="2"/>
        <v>FITNESS Platforma za e-učenje svih aspekata pakiranja hrane</v>
      </c>
      <c r="G6" s="198">
        <v>20570</v>
      </c>
      <c r="H6" s="198">
        <v>0</v>
      </c>
      <c r="I6" s="198">
        <v>0</v>
      </c>
      <c r="J6" s="226"/>
      <c r="K6" s="225"/>
      <c r="L6" s="225"/>
      <c r="M6" s="226"/>
      <c r="N6" s="226"/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913</v>
      </c>
      <c r="AB6" s="144" t="s">
        <v>913</v>
      </c>
    </row>
    <row r="7" spans="1:28">
      <c r="A7" s="154">
        <v>51</v>
      </c>
      <c r="B7" s="149" t="str">
        <f t="shared" si="1"/>
        <v>Pomoći EU</v>
      </c>
      <c r="C7" s="154">
        <v>3213</v>
      </c>
      <c r="D7" s="149" t="str">
        <f t="shared" si="0"/>
        <v>Stručno usavršavanje zaposlenika</v>
      </c>
      <c r="E7" s="201" t="s">
        <v>1094</v>
      </c>
      <c r="F7" s="149" t="str">
        <f t="shared" si="2"/>
        <v>FITNESS Platforma za e-učenje svih aspekata pakiranja hrane</v>
      </c>
      <c r="G7" s="198">
        <v>6000</v>
      </c>
      <c r="H7" s="198">
        <v>0</v>
      </c>
      <c r="I7" s="198">
        <v>0</v>
      </c>
      <c r="J7" s="226"/>
      <c r="K7" s="225"/>
      <c r="L7" s="225"/>
      <c r="M7" s="226"/>
      <c r="N7" s="226"/>
      <c r="P7" s="144" t="str">
        <f t="shared" si="3"/>
        <v>321</v>
      </c>
      <c r="Q7" s="144" t="str">
        <f t="shared" si="4"/>
        <v>32</v>
      </c>
      <c r="R7" s="144">
        <v>12</v>
      </c>
      <c r="S7" s="144" t="s">
        <v>285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914</v>
      </c>
      <c r="AB7" s="144" t="s">
        <v>915</v>
      </c>
    </row>
    <row r="8" spans="1:28">
      <c r="A8" s="154">
        <v>51</v>
      </c>
      <c r="B8" s="149" t="str">
        <f t="shared" si="1"/>
        <v>Pomoći EU</v>
      </c>
      <c r="C8" s="154">
        <v>3431</v>
      </c>
      <c r="D8" s="149" t="str">
        <f t="shared" si="0"/>
        <v>Bankarske usluge i usluge platnog prometa</v>
      </c>
      <c r="E8" s="201" t="s">
        <v>1094</v>
      </c>
      <c r="F8" s="149" t="str">
        <f t="shared" si="2"/>
        <v>FITNESS Platforma za e-učenje svih aspekata pakiranja hrane</v>
      </c>
      <c r="G8" s="198">
        <v>1120</v>
      </c>
      <c r="H8" s="198">
        <v>0</v>
      </c>
      <c r="I8" s="198">
        <v>0</v>
      </c>
      <c r="J8" s="226"/>
      <c r="K8" s="225"/>
      <c r="L8" s="225"/>
      <c r="M8" s="226"/>
      <c r="N8" s="226"/>
      <c r="P8" s="144" t="str">
        <f t="shared" si="3"/>
        <v>343</v>
      </c>
      <c r="Q8" s="144" t="str">
        <f t="shared" si="4"/>
        <v>34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916</v>
      </c>
      <c r="AB8" s="144" t="s">
        <v>917</v>
      </c>
    </row>
    <row r="9" spans="1:28">
      <c r="A9" s="154">
        <v>51</v>
      </c>
      <c r="B9" s="149" t="str">
        <f t="shared" si="1"/>
        <v>Pomoći EU</v>
      </c>
      <c r="C9" s="154">
        <v>3211</v>
      </c>
      <c r="D9" s="149" t="str">
        <f t="shared" si="0"/>
        <v>Službena putovanja</v>
      </c>
      <c r="E9" s="201" t="s">
        <v>1096</v>
      </c>
      <c r="F9" s="149" t="str">
        <f t="shared" si="2"/>
        <v>ASKFOOD Savez za vještine i znanje vezano za prehrambeni sektor</v>
      </c>
      <c r="G9" s="198">
        <v>8630</v>
      </c>
      <c r="H9" s="198">
        <v>0</v>
      </c>
      <c r="I9" s="198">
        <v>0</v>
      </c>
      <c r="J9" s="226"/>
      <c r="K9" s="225"/>
      <c r="L9" s="225"/>
      <c r="M9" s="226"/>
      <c r="N9" s="226"/>
      <c r="P9" s="144" t="str">
        <f t="shared" si="3"/>
        <v>321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918</v>
      </c>
      <c r="AB9" s="144" t="s">
        <v>919</v>
      </c>
    </row>
    <row r="10" spans="1:28">
      <c r="A10" s="154">
        <v>51</v>
      </c>
      <c r="B10" s="149" t="str">
        <f t="shared" si="1"/>
        <v>Pomoći EU</v>
      </c>
      <c r="C10" s="154">
        <v>3213</v>
      </c>
      <c r="D10" s="149" t="str">
        <f t="shared" si="0"/>
        <v>Stručno usavršavanje zaposlenika</v>
      </c>
      <c r="E10" s="201" t="s">
        <v>1096</v>
      </c>
      <c r="F10" s="149" t="str">
        <f t="shared" si="2"/>
        <v>ASKFOOD Savez za vještine i znanje vezano za prehrambeni sektor</v>
      </c>
      <c r="G10" s="198">
        <v>4400</v>
      </c>
      <c r="H10" s="198">
        <v>0</v>
      </c>
      <c r="I10" s="198">
        <v>0</v>
      </c>
      <c r="J10" s="226"/>
      <c r="K10" s="225"/>
      <c r="L10" s="225"/>
      <c r="M10" s="226"/>
      <c r="N10" s="226"/>
      <c r="P10" s="144" t="str">
        <f t="shared" si="3"/>
        <v>321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920</v>
      </c>
      <c r="AB10" s="144" t="s">
        <v>921</v>
      </c>
    </row>
    <row r="11" spans="1:28">
      <c r="A11" s="154">
        <v>51</v>
      </c>
      <c r="B11" s="149" t="str">
        <f t="shared" si="1"/>
        <v>Pomoći EU</v>
      </c>
      <c r="C11" s="154">
        <v>3431</v>
      </c>
      <c r="D11" s="149" t="str">
        <f t="shared" si="0"/>
        <v>Bankarske usluge i usluge platnog prometa</v>
      </c>
      <c r="E11" s="201" t="s">
        <v>1096</v>
      </c>
      <c r="F11" s="149" t="str">
        <f t="shared" si="2"/>
        <v>ASKFOOD Savez za vještine i znanje vezano za prehrambeni sektor</v>
      </c>
      <c r="G11" s="198">
        <v>1700</v>
      </c>
      <c r="H11" s="198">
        <v>0</v>
      </c>
      <c r="I11" s="198">
        <v>0</v>
      </c>
      <c r="J11" s="226"/>
      <c r="K11" s="225"/>
      <c r="L11" s="225"/>
      <c r="M11" s="226"/>
      <c r="N11" s="226"/>
      <c r="P11" s="144" t="str">
        <f t="shared" si="3"/>
        <v>343</v>
      </c>
      <c r="Q11" s="144" t="str">
        <f t="shared" si="4"/>
        <v>34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922</v>
      </c>
      <c r="AB11" s="144" t="s">
        <v>923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>
        <v>0</v>
      </c>
      <c r="H12" s="198">
        <v>0</v>
      </c>
      <c r="I12" s="198">
        <v>0</v>
      </c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924</v>
      </c>
      <c r="AB12" s="144" t="s">
        <v>925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>
        <v>0</v>
      </c>
      <c r="H13" s="198">
        <v>0</v>
      </c>
      <c r="I13" s="198">
        <v>0</v>
      </c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926</v>
      </c>
      <c r="AB13" s="144" t="s">
        <v>927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>
        <v>0</v>
      </c>
      <c r="H14" s="198">
        <v>0</v>
      </c>
      <c r="I14" s="198">
        <v>0</v>
      </c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928</v>
      </c>
      <c r="AB14" s="144" t="s">
        <v>929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>
        <v>0</v>
      </c>
      <c r="H15" s="198">
        <v>0</v>
      </c>
      <c r="I15" s="198">
        <v>0</v>
      </c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930</v>
      </c>
      <c r="AB15" s="144" t="s">
        <v>931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>
        <v>0</v>
      </c>
      <c r="H16" s="198">
        <v>0</v>
      </c>
      <c r="I16" s="198">
        <v>0</v>
      </c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932</v>
      </c>
      <c r="AB16" s="144" t="s">
        <v>933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>
        <v>0</v>
      </c>
      <c r="H17" s="198">
        <v>0</v>
      </c>
      <c r="I17" s="198">
        <v>0</v>
      </c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934</v>
      </c>
      <c r="AB17" s="144" t="s">
        <v>935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>
        <v>0</v>
      </c>
      <c r="H18" s="198">
        <v>0</v>
      </c>
      <c r="I18" s="198">
        <v>0</v>
      </c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936</v>
      </c>
      <c r="AB18" s="144" t="s">
        <v>937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>
        <v>0</v>
      </c>
      <c r="H19" s="198">
        <v>0</v>
      </c>
      <c r="I19" s="198">
        <v>0</v>
      </c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938</v>
      </c>
      <c r="AB19" s="144" t="s">
        <v>939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>
        <v>0</v>
      </c>
      <c r="H20" s="198">
        <v>0</v>
      </c>
      <c r="I20" s="198">
        <v>0</v>
      </c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940</v>
      </c>
      <c r="AB20" s="144" t="s">
        <v>941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>
        <v>0</v>
      </c>
      <c r="H21" s="198">
        <v>0</v>
      </c>
      <c r="I21" s="198">
        <v>0</v>
      </c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942</v>
      </c>
      <c r="AB21" s="144" t="s">
        <v>943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>
        <v>0</v>
      </c>
      <c r="H22" s="198">
        <v>0</v>
      </c>
      <c r="I22" s="198">
        <v>0</v>
      </c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944</v>
      </c>
      <c r="AB22" s="144" t="s">
        <v>945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>
        <v>0</v>
      </c>
      <c r="H23" s="198">
        <v>0</v>
      </c>
      <c r="I23" s="198">
        <v>0</v>
      </c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946</v>
      </c>
      <c r="AB23" s="144" t="s">
        <v>947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>
        <v>0</v>
      </c>
      <c r="H24" s="198">
        <v>0</v>
      </c>
      <c r="I24" s="198">
        <v>0</v>
      </c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948</v>
      </c>
      <c r="AB24" s="144" t="s">
        <v>949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>
        <v>0</v>
      </c>
      <c r="H25" s="198">
        <v>0</v>
      </c>
      <c r="I25" s="198">
        <v>0</v>
      </c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950</v>
      </c>
      <c r="AB25" s="144" t="s">
        <v>951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>
        <v>0</v>
      </c>
      <c r="H26" s="198">
        <v>0</v>
      </c>
      <c r="I26" s="198">
        <v>0</v>
      </c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952</v>
      </c>
      <c r="AB26" s="144" t="s">
        <v>953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>
        <v>0</v>
      </c>
      <c r="H27" s="198">
        <v>0</v>
      </c>
      <c r="I27" s="198">
        <v>0</v>
      </c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954</v>
      </c>
      <c r="AB27" s="144" t="s">
        <v>955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>
        <v>0</v>
      </c>
      <c r="H28" s="198">
        <v>0</v>
      </c>
      <c r="I28" s="198">
        <v>0</v>
      </c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956</v>
      </c>
      <c r="AB28" s="144" t="s">
        <v>957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>
        <v>0</v>
      </c>
      <c r="H29" s="198">
        <v>0</v>
      </c>
      <c r="I29" s="198">
        <v>0</v>
      </c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958</v>
      </c>
      <c r="AB29" s="144" t="s">
        <v>959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>
        <v>0</v>
      </c>
      <c r="H30" s="198">
        <v>0</v>
      </c>
      <c r="I30" s="198">
        <v>0</v>
      </c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960</v>
      </c>
      <c r="AB30" s="144" t="s">
        <v>961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>
        <v>0</v>
      </c>
      <c r="H31" s="198">
        <v>0</v>
      </c>
      <c r="I31" s="198">
        <v>0</v>
      </c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962</v>
      </c>
      <c r="AB31" s="144" t="s">
        <v>963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>
        <v>0</v>
      </c>
      <c r="H32" s="198">
        <v>0</v>
      </c>
      <c r="I32" s="198">
        <v>0</v>
      </c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964</v>
      </c>
      <c r="AB32" s="144" t="s">
        <v>965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>
        <v>0</v>
      </c>
      <c r="H33" s="198">
        <v>0</v>
      </c>
      <c r="I33" s="198">
        <v>0</v>
      </c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966</v>
      </c>
      <c r="AB33" s="144" t="s">
        <v>967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>
        <v>0</v>
      </c>
      <c r="H34" s="198">
        <v>0</v>
      </c>
      <c r="I34" s="198">
        <v>0</v>
      </c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968</v>
      </c>
      <c r="AB34" s="144" t="s">
        <v>969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>
        <v>0</v>
      </c>
      <c r="H35" s="198">
        <v>0</v>
      </c>
      <c r="I35" s="198">
        <v>0</v>
      </c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970</v>
      </c>
      <c r="AB35" s="144" t="s">
        <v>971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>
        <v>0</v>
      </c>
      <c r="H36" s="198">
        <v>0</v>
      </c>
      <c r="I36" s="198">
        <v>0</v>
      </c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972</v>
      </c>
      <c r="AB36" s="144" t="s">
        <v>973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>
        <v>0</v>
      </c>
      <c r="H37" s="198">
        <v>0</v>
      </c>
      <c r="I37" s="198">
        <v>0</v>
      </c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974</v>
      </c>
      <c r="AB37" s="144" t="s">
        <v>975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>
        <v>0</v>
      </c>
      <c r="H38" s="198">
        <v>0</v>
      </c>
      <c r="I38" s="198">
        <v>0</v>
      </c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976</v>
      </c>
      <c r="AB38" s="144" t="s">
        <v>977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>
        <v>0</v>
      </c>
      <c r="H39" s="198">
        <v>0</v>
      </c>
      <c r="I39" s="198">
        <v>0</v>
      </c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978</v>
      </c>
      <c r="AB39" s="144" t="s">
        <v>979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>
        <v>0</v>
      </c>
      <c r="H40" s="198">
        <v>0</v>
      </c>
      <c r="I40" s="198">
        <v>0</v>
      </c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980</v>
      </c>
      <c r="AB40" s="144" t="s">
        <v>981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>
        <v>0</v>
      </c>
      <c r="H41" s="198">
        <v>0</v>
      </c>
      <c r="I41" s="198">
        <v>0</v>
      </c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982</v>
      </c>
      <c r="AB41" s="144" t="s">
        <v>983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>
        <v>0</v>
      </c>
      <c r="H42" s="198">
        <v>0</v>
      </c>
      <c r="I42" s="198">
        <v>0</v>
      </c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984</v>
      </c>
      <c r="AB42" s="144" t="s">
        <v>985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>
        <v>0</v>
      </c>
      <c r="H43" s="198">
        <v>0</v>
      </c>
      <c r="I43" s="198">
        <v>0</v>
      </c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986</v>
      </c>
      <c r="AB43" s="144" t="s">
        <v>987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>
        <v>0</v>
      </c>
      <c r="H44" s="198">
        <v>0</v>
      </c>
      <c r="I44" s="198">
        <v>0</v>
      </c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988</v>
      </c>
      <c r="AB44" s="144" t="s">
        <v>989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>
        <v>0</v>
      </c>
      <c r="H45" s="198">
        <v>0</v>
      </c>
      <c r="I45" s="198">
        <v>0</v>
      </c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990</v>
      </c>
      <c r="AB45" s="144" t="s">
        <v>991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>
        <v>0</v>
      </c>
      <c r="H46" s="198">
        <v>0</v>
      </c>
      <c r="I46" s="198">
        <v>0</v>
      </c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992</v>
      </c>
      <c r="AB46" s="144" t="s">
        <v>993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>
        <v>0</v>
      </c>
      <c r="H47" s="198">
        <v>0</v>
      </c>
      <c r="I47" s="198">
        <v>0</v>
      </c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994</v>
      </c>
      <c r="AB47" s="144" t="s">
        <v>995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>
        <v>0</v>
      </c>
      <c r="H48" s="198">
        <v>0</v>
      </c>
      <c r="I48" s="198">
        <v>0</v>
      </c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996</v>
      </c>
      <c r="AB48" s="144" t="s">
        <v>997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>
        <v>0</v>
      </c>
      <c r="H49" s="198">
        <v>0</v>
      </c>
      <c r="I49" s="198">
        <v>0</v>
      </c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998</v>
      </c>
      <c r="AB49" s="144" t="s">
        <v>999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>
        <v>0</v>
      </c>
      <c r="H50" s="198">
        <v>0</v>
      </c>
      <c r="I50" s="198">
        <v>0</v>
      </c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287</v>
      </c>
      <c r="X50" s="144" t="str">
        <f t="shared" si="5"/>
        <v>35</v>
      </c>
      <c r="Y50" s="144" t="str">
        <f t="shared" si="6"/>
        <v>352</v>
      </c>
      <c r="AA50" s="144" t="s">
        <v>1000</v>
      </c>
      <c r="AB50" s="144" t="s">
        <v>1001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>
        <v>0</v>
      </c>
      <c r="H51" s="198">
        <v>0</v>
      </c>
      <c r="I51" s="198">
        <v>0</v>
      </c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1002</v>
      </c>
      <c r="AB51" s="144" t="s">
        <v>1003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>
        <v>0</v>
      </c>
      <c r="H52" s="198">
        <v>0</v>
      </c>
      <c r="I52" s="198">
        <v>0</v>
      </c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1004</v>
      </c>
      <c r="AB52" s="144" t="s">
        <v>1005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>
        <v>0</v>
      </c>
      <c r="H53" s="198">
        <v>0</v>
      </c>
      <c r="I53" s="198">
        <v>0</v>
      </c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1006</v>
      </c>
      <c r="AB53" s="144" t="s">
        <v>1007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>
        <v>0</v>
      </c>
      <c r="H54" s="198">
        <v>0</v>
      </c>
      <c r="I54" s="198">
        <v>0</v>
      </c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1008</v>
      </c>
      <c r="AB54" s="144" t="s">
        <v>1009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>
        <v>0</v>
      </c>
      <c r="H55" s="198">
        <v>0</v>
      </c>
      <c r="I55" s="198">
        <v>0</v>
      </c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288</v>
      </c>
      <c r="X55" s="144" t="str">
        <f t="shared" si="5"/>
        <v>36</v>
      </c>
      <c r="Y55" s="144" t="str">
        <f t="shared" si="6"/>
        <v>363</v>
      </c>
      <c r="AA55" s="144" t="s">
        <v>1010</v>
      </c>
      <c r="AB55" s="144" t="s">
        <v>1011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>
        <v>0</v>
      </c>
      <c r="H56" s="198">
        <v>0</v>
      </c>
      <c r="I56" s="198">
        <v>0</v>
      </c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1012</v>
      </c>
      <c r="AB56" s="144" t="s">
        <v>1013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>
        <v>0</v>
      </c>
      <c r="H57" s="198">
        <v>0</v>
      </c>
      <c r="I57" s="198">
        <v>0</v>
      </c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1014</v>
      </c>
      <c r="AB57" s="144" t="s">
        <v>1015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>
        <v>0</v>
      </c>
      <c r="H58" s="198">
        <v>0</v>
      </c>
      <c r="I58" s="198">
        <v>0</v>
      </c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879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>
        <v>0</v>
      </c>
      <c r="H59" s="198">
        <v>0</v>
      </c>
      <c r="I59" s="198">
        <v>0</v>
      </c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1016</v>
      </c>
      <c r="AB59" s="144" t="s">
        <v>1017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>
        <v>0</v>
      </c>
      <c r="H60" s="198">
        <v>0</v>
      </c>
      <c r="I60" s="198">
        <v>0</v>
      </c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1018</v>
      </c>
      <c r="AB60" s="144" t="s">
        <v>1019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>
        <v>0</v>
      </c>
      <c r="H61" s="198">
        <v>0</v>
      </c>
      <c r="I61" s="198">
        <v>0</v>
      </c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1020</v>
      </c>
      <c r="AB61" s="144" t="s">
        <v>1021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>
        <v>0</v>
      </c>
      <c r="H62" s="198">
        <v>0</v>
      </c>
      <c r="I62" s="198">
        <v>0</v>
      </c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1022</v>
      </c>
      <c r="AB62" s="144" t="s">
        <v>1023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>
        <v>0</v>
      </c>
      <c r="H63" s="198">
        <v>0</v>
      </c>
      <c r="I63" s="198">
        <v>0</v>
      </c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1024</v>
      </c>
      <c r="AB63" s="144" t="s">
        <v>1025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>
        <v>0</v>
      </c>
      <c r="H64" s="198">
        <v>0</v>
      </c>
      <c r="I64" s="198">
        <v>0</v>
      </c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1026</v>
      </c>
      <c r="AB64" s="144" t="s">
        <v>1027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>
        <v>0</v>
      </c>
      <c r="H65" s="198">
        <v>0</v>
      </c>
      <c r="I65" s="198">
        <v>0</v>
      </c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1028</v>
      </c>
      <c r="AB65" s="144" t="s">
        <v>1029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>
        <v>0</v>
      </c>
      <c r="H66" s="198">
        <v>0</v>
      </c>
      <c r="I66" s="198">
        <v>0</v>
      </c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1030</v>
      </c>
      <c r="AB66" s="144" t="s">
        <v>1031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>
        <v>0</v>
      </c>
      <c r="H67" s="198">
        <v>0</v>
      </c>
      <c r="I67" s="198">
        <v>0</v>
      </c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1032</v>
      </c>
      <c r="AB67" s="144" t="s">
        <v>1033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>
        <v>0</v>
      </c>
      <c r="H68" s="198">
        <v>0</v>
      </c>
      <c r="I68" s="198">
        <v>0</v>
      </c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1034</v>
      </c>
      <c r="AB68" s="144" t="s">
        <v>1035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>
        <v>0</v>
      </c>
      <c r="H69" s="198">
        <v>0</v>
      </c>
      <c r="I69" s="198">
        <v>0</v>
      </c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1036</v>
      </c>
      <c r="AB69" s="144" t="s">
        <v>1037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>
        <v>0</v>
      </c>
      <c r="H70" s="198">
        <v>0</v>
      </c>
      <c r="I70" s="198">
        <v>0</v>
      </c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1038</v>
      </c>
      <c r="AB70" s="144" t="s">
        <v>1039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>
        <v>0</v>
      </c>
      <c r="H71" s="198">
        <v>0</v>
      </c>
      <c r="I71" s="198">
        <v>0</v>
      </c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1040</v>
      </c>
      <c r="AB71" s="144" t="s">
        <v>1041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>
        <v>0</v>
      </c>
      <c r="H72" s="198">
        <v>0</v>
      </c>
      <c r="I72" s="198">
        <v>0</v>
      </c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1042</v>
      </c>
      <c r="AB72" s="144" t="s">
        <v>1043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>
        <v>0</v>
      </c>
      <c r="H73" s="198">
        <v>0</v>
      </c>
      <c r="I73" s="198">
        <v>0</v>
      </c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1044</v>
      </c>
      <c r="AB73" s="144" t="s">
        <v>1045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>
        <v>0</v>
      </c>
      <c r="H74" s="198">
        <v>0</v>
      </c>
      <c r="I74" s="198">
        <v>0</v>
      </c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1046</v>
      </c>
      <c r="AB74" s="144" t="s">
        <v>1047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>
        <v>0</v>
      </c>
      <c r="H75" s="198">
        <v>0</v>
      </c>
      <c r="I75" s="198">
        <v>0</v>
      </c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1048</v>
      </c>
      <c r="AB75" s="144" t="s">
        <v>1049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>
        <v>0</v>
      </c>
      <c r="H76" s="198">
        <v>0</v>
      </c>
      <c r="I76" s="198">
        <v>0</v>
      </c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1050</v>
      </c>
      <c r="AB76" s="144" t="s">
        <v>1051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>
        <v>0</v>
      </c>
      <c r="H77" s="198">
        <v>0</v>
      </c>
      <c r="I77" s="198">
        <v>0</v>
      </c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1052</v>
      </c>
      <c r="AB77" s="144" t="s">
        <v>1053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>
        <v>0</v>
      </c>
      <c r="H78" s="198">
        <v>0</v>
      </c>
      <c r="I78" s="198">
        <v>0</v>
      </c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1054</v>
      </c>
      <c r="AB78" s="144" t="s">
        <v>1055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>
        <v>0</v>
      </c>
      <c r="H79" s="198">
        <v>0</v>
      </c>
      <c r="I79" s="198">
        <v>0</v>
      </c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1056</v>
      </c>
      <c r="AB79" s="144" t="s">
        <v>1057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>
        <v>0</v>
      </c>
      <c r="H80" s="198">
        <v>0</v>
      </c>
      <c r="I80" s="198">
        <v>0</v>
      </c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1058</v>
      </c>
      <c r="AB80" s="144" t="s">
        <v>1059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>
        <v>0</v>
      </c>
      <c r="H81" s="198">
        <v>0</v>
      </c>
      <c r="I81" s="198">
        <v>0</v>
      </c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849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1060</v>
      </c>
      <c r="AB81" s="144" t="s">
        <v>1061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>
        <v>0</v>
      </c>
      <c r="H82" s="198">
        <v>0</v>
      </c>
      <c r="I82" s="198">
        <v>0</v>
      </c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850</v>
      </c>
      <c r="X82" s="144" t="str">
        <f t="shared" si="12"/>
        <v>38</v>
      </c>
      <c r="Y82" s="144" t="str">
        <f t="shared" si="13"/>
        <v>386</v>
      </c>
      <c r="AA82" s="144" t="s">
        <v>1062</v>
      </c>
      <c r="AB82" s="144" t="s">
        <v>1063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>
        <v>0</v>
      </c>
      <c r="H83" s="198">
        <v>0</v>
      </c>
      <c r="I83" s="198">
        <v>0</v>
      </c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851</v>
      </c>
      <c r="X83" s="144" t="str">
        <f t="shared" si="12"/>
        <v>38</v>
      </c>
      <c r="Y83" s="144" t="str">
        <f t="shared" si="13"/>
        <v>386</v>
      </c>
      <c r="AA83" s="144" t="s">
        <v>1064</v>
      </c>
      <c r="AB83" s="144" t="s">
        <v>1065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>
        <v>0</v>
      </c>
      <c r="H84" s="198">
        <v>0</v>
      </c>
      <c r="I84" s="198">
        <v>0</v>
      </c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1066</v>
      </c>
      <c r="AB84" s="144" t="s">
        <v>1067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>
        <v>0</v>
      </c>
      <c r="H85" s="198">
        <v>0</v>
      </c>
      <c r="I85" s="198">
        <v>0</v>
      </c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1068</v>
      </c>
      <c r="AB85" s="144" t="s">
        <v>1069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>
        <v>0</v>
      </c>
      <c r="H86" s="198">
        <v>0</v>
      </c>
      <c r="I86" s="198">
        <v>0</v>
      </c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1070</v>
      </c>
      <c r="AB86" s="144" t="s">
        <v>1071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>
        <v>0</v>
      </c>
      <c r="H87" s="198">
        <v>0</v>
      </c>
      <c r="I87" s="198">
        <v>0</v>
      </c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1072</v>
      </c>
      <c r="AB87" s="144" t="s">
        <v>1071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>
        <v>0</v>
      </c>
      <c r="H88" s="198">
        <v>0</v>
      </c>
      <c r="I88" s="198">
        <v>0</v>
      </c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1073</v>
      </c>
      <c r="AB88" s="144" t="s">
        <v>1074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>
        <v>0</v>
      </c>
      <c r="H89" s="198">
        <v>0</v>
      </c>
      <c r="I89" s="198">
        <v>0</v>
      </c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1075</v>
      </c>
      <c r="AB89" s="144" t="s">
        <v>1076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>
        <v>0</v>
      </c>
      <c r="H90" s="198">
        <v>0</v>
      </c>
      <c r="I90" s="198">
        <v>0</v>
      </c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1077</v>
      </c>
      <c r="AB90" s="144" t="s">
        <v>1074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>
        <v>0</v>
      </c>
      <c r="H91" s="198">
        <v>0</v>
      </c>
      <c r="I91" s="198">
        <v>0</v>
      </c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1078</v>
      </c>
      <c r="AB91" s="144" t="s">
        <v>1079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>
        <v>0</v>
      </c>
      <c r="H92" s="198">
        <v>0</v>
      </c>
      <c r="I92" s="198">
        <v>0</v>
      </c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1080</v>
      </c>
      <c r="AB92" s="144" t="s">
        <v>1081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>
        <v>0</v>
      </c>
      <c r="H93" s="198">
        <v>0</v>
      </c>
      <c r="I93" s="198">
        <v>0</v>
      </c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1082</v>
      </c>
      <c r="AB93" s="144" t="s">
        <v>1083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>
        <v>0</v>
      </c>
      <c r="H94" s="198">
        <v>0</v>
      </c>
      <c r="I94" s="198">
        <v>0</v>
      </c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1084</v>
      </c>
      <c r="AB94" s="144" t="s">
        <v>1085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>
        <v>0</v>
      </c>
      <c r="H95" s="198">
        <v>0</v>
      </c>
      <c r="I95" s="198">
        <v>0</v>
      </c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1086</v>
      </c>
      <c r="AB95" s="144" t="s">
        <v>1087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>
        <v>0</v>
      </c>
      <c r="H96" s="198">
        <v>0</v>
      </c>
      <c r="I96" s="198">
        <v>0</v>
      </c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1088</v>
      </c>
      <c r="AB96" s="144" t="s">
        <v>1089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>
        <v>0</v>
      </c>
      <c r="H97" s="198">
        <v>0</v>
      </c>
      <c r="I97" s="198">
        <v>0</v>
      </c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1090</v>
      </c>
      <c r="AB97" s="144" t="s">
        <v>1091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>
        <v>0</v>
      </c>
      <c r="H98" s="198">
        <v>0</v>
      </c>
      <c r="I98" s="198">
        <v>0</v>
      </c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1092</v>
      </c>
      <c r="AB98" s="144" t="s">
        <v>1093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>
        <v>0</v>
      </c>
      <c r="H99" s="198">
        <v>0</v>
      </c>
      <c r="I99" s="198">
        <v>0</v>
      </c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1094</v>
      </c>
      <c r="AB99" s="144" t="s">
        <v>1095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>
        <v>0</v>
      </c>
      <c r="H100" s="198">
        <v>0</v>
      </c>
      <c r="I100" s="198">
        <v>0</v>
      </c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1096</v>
      </c>
      <c r="AB100" s="144" t="s">
        <v>1097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>
        <v>0</v>
      </c>
      <c r="H101" s="198">
        <v>0</v>
      </c>
      <c r="I101" s="198">
        <v>0</v>
      </c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1098</v>
      </c>
      <c r="AB101" s="144" t="s">
        <v>1099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>
        <v>0</v>
      </c>
      <c r="H102" s="198">
        <v>0</v>
      </c>
      <c r="I102" s="198">
        <v>0</v>
      </c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1100</v>
      </c>
      <c r="AB102" s="144" t="s">
        <v>1101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>
        <v>0</v>
      </c>
      <c r="H103" s="198">
        <v>0</v>
      </c>
      <c r="I103" s="198">
        <v>0</v>
      </c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1102</v>
      </c>
      <c r="AB103" s="144" t="s">
        <v>1103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>
        <v>0</v>
      </c>
      <c r="H104" s="198">
        <v>0</v>
      </c>
      <c r="I104" s="198">
        <v>0</v>
      </c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1104</v>
      </c>
      <c r="AB104" s="144" t="s">
        <v>1105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>
        <v>0</v>
      </c>
      <c r="H105" s="198">
        <v>0</v>
      </c>
      <c r="I105" s="198">
        <v>0</v>
      </c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1106</v>
      </c>
      <c r="AB105" s="144" t="s">
        <v>1107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>
        <v>0</v>
      </c>
      <c r="H106" s="198">
        <v>0</v>
      </c>
      <c r="I106" s="198">
        <v>0</v>
      </c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1108</v>
      </c>
      <c r="AB106" s="144" t="s">
        <v>1109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>
        <v>0</v>
      </c>
      <c r="H107" s="198">
        <v>0</v>
      </c>
      <c r="I107" s="198">
        <v>0</v>
      </c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1110</v>
      </c>
      <c r="AB107" s="144" t="s">
        <v>1111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>
        <v>0</v>
      </c>
      <c r="H108" s="198">
        <v>0</v>
      </c>
      <c r="I108" s="198">
        <v>0</v>
      </c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1112</v>
      </c>
      <c r="AB108" s="144" t="s">
        <v>1113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>
        <v>0</v>
      </c>
      <c r="H109" s="198">
        <v>0</v>
      </c>
      <c r="I109" s="198">
        <v>0</v>
      </c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1114</v>
      </c>
      <c r="AB109" s="144" t="s">
        <v>1115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>
        <v>0</v>
      </c>
      <c r="H110" s="198">
        <v>0</v>
      </c>
      <c r="I110" s="198">
        <v>0</v>
      </c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1116</v>
      </c>
      <c r="AB110" s="144" t="s">
        <v>1117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>
        <v>0</v>
      </c>
      <c r="H111" s="198">
        <v>0</v>
      </c>
      <c r="I111" s="198">
        <v>0</v>
      </c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1118</v>
      </c>
      <c r="AB111" s="144" t="s">
        <v>1119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>
        <v>0</v>
      </c>
      <c r="H112" s="198">
        <v>0</v>
      </c>
      <c r="I112" s="198">
        <v>0</v>
      </c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1120</v>
      </c>
      <c r="AB112" s="144" t="s">
        <v>1121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>
        <v>0</v>
      </c>
      <c r="H113" s="198">
        <v>0</v>
      </c>
      <c r="I113" s="198">
        <v>0</v>
      </c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1122</v>
      </c>
      <c r="AB113" s="144" t="s">
        <v>1123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>
        <v>0</v>
      </c>
      <c r="H114" s="198">
        <v>0</v>
      </c>
      <c r="I114" s="198">
        <v>0</v>
      </c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1124</v>
      </c>
      <c r="AB114" s="144" t="s">
        <v>1125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>
        <v>0</v>
      </c>
      <c r="H115" s="198">
        <v>0</v>
      </c>
      <c r="I115" s="198">
        <v>0</v>
      </c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1126</v>
      </c>
      <c r="AB115" s="144" t="s">
        <v>1127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>
        <v>0</v>
      </c>
      <c r="H116" s="198">
        <v>0</v>
      </c>
      <c r="I116" s="198">
        <v>0</v>
      </c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1128</v>
      </c>
      <c r="AB116" s="144" t="s">
        <v>1129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>
        <v>0</v>
      </c>
      <c r="H117" s="198">
        <v>0</v>
      </c>
      <c r="I117" s="198">
        <v>0</v>
      </c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1130</v>
      </c>
      <c r="AB117" s="144" t="s">
        <v>1131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>
        <v>0</v>
      </c>
      <c r="H118" s="198">
        <v>0</v>
      </c>
      <c r="I118" s="198">
        <v>0</v>
      </c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1132</v>
      </c>
      <c r="AB118" s="144" t="s">
        <v>1133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>
        <v>0</v>
      </c>
      <c r="H119" s="198">
        <v>0</v>
      </c>
      <c r="I119" s="198">
        <v>0</v>
      </c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819</v>
      </c>
      <c r="X119" s="144" t="str">
        <f t="shared" si="12"/>
        <v>51</v>
      </c>
      <c r="Y119" s="144" t="str">
        <f t="shared" si="13"/>
        <v>512</v>
      </c>
      <c r="AA119" s="144" t="s">
        <v>1134</v>
      </c>
      <c r="AB119" s="144" t="s">
        <v>1135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>
        <v>0</v>
      </c>
      <c r="H120" s="198">
        <v>0</v>
      </c>
      <c r="I120" s="198">
        <v>0</v>
      </c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820</v>
      </c>
      <c r="X120" s="144" t="str">
        <f t="shared" si="12"/>
        <v>51</v>
      </c>
      <c r="Y120" s="144" t="str">
        <f t="shared" si="13"/>
        <v>512</v>
      </c>
      <c r="AA120" s="144" t="s">
        <v>1136</v>
      </c>
      <c r="AB120" s="144" t="s">
        <v>1137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>
        <v>0</v>
      </c>
      <c r="H121" s="198">
        <v>0</v>
      </c>
      <c r="I121" s="198">
        <v>0</v>
      </c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821</v>
      </c>
      <c r="X121" s="144" t="str">
        <f t="shared" si="12"/>
        <v>51</v>
      </c>
      <c r="Y121" s="144" t="str">
        <f t="shared" si="13"/>
        <v>514</v>
      </c>
      <c r="AA121" s="144" t="s">
        <v>1138</v>
      </c>
      <c r="AB121" s="144" t="s">
        <v>1139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>
        <v>0</v>
      </c>
      <c r="H122" s="198">
        <v>0</v>
      </c>
      <c r="I122" s="198">
        <v>0</v>
      </c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822</v>
      </c>
      <c r="X122" s="144" t="str">
        <f t="shared" si="12"/>
        <v>51</v>
      </c>
      <c r="Y122" s="144" t="str">
        <f t="shared" si="13"/>
        <v>518</v>
      </c>
      <c r="AA122" s="144" t="s">
        <v>1140</v>
      </c>
      <c r="AB122" s="144" t="s">
        <v>1141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>
        <v>0</v>
      </c>
      <c r="H123" s="198">
        <v>0</v>
      </c>
      <c r="I123" s="198">
        <v>0</v>
      </c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823</v>
      </c>
      <c r="X123" s="144" t="str">
        <f t="shared" si="12"/>
        <v>51</v>
      </c>
      <c r="Y123" s="144" t="str">
        <f t="shared" si="13"/>
        <v>518</v>
      </c>
      <c r="AA123" s="144" t="s">
        <v>1142</v>
      </c>
      <c r="AB123" s="144" t="s">
        <v>1143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>
        <v>0</v>
      </c>
      <c r="H124" s="198">
        <v>0</v>
      </c>
      <c r="I124" s="198">
        <v>0</v>
      </c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824</v>
      </c>
      <c r="X124" s="144" t="str">
        <f t="shared" si="12"/>
        <v>54</v>
      </c>
      <c r="Y124" s="144" t="str">
        <f t="shared" si="13"/>
        <v>542</v>
      </c>
      <c r="AA124" s="144" t="s">
        <v>1144</v>
      </c>
      <c r="AB124" s="144" t="s">
        <v>1145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>
        <v>0</v>
      </c>
      <c r="H125" s="198">
        <v>0</v>
      </c>
      <c r="I125" s="198">
        <v>0</v>
      </c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389</v>
      </c>
      <c r="X125" s="144" t="str">
        <f t="shared" si="12"/>
        <v>54</v>
      </c>
      <c r="Y125" s="144" t="str">
        <f t="shared" si="13"/>
        <v>543</v>
      </c>
      <c r="AA125" s="144" t="s">
        <v>1146</v>
      </c>
      <c r="AB125" s="144" t="s">
        <v>1147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>
        <v>0</v>
      </c>
      <c r="H126" s="198">
        <v>0</v>
      </c>
      <c r="I126" s="198">
        <v>0</v>
      </c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825</v>
      </c>
      <c r="X126" s="144" t="str">
        <f t="shared" si="12"/>
        <v>54</v>
      </c>
      <c r="Y126" s="144" t="str">
        <f t="shared" si="13"/>
        <v>544</v>
      </c>
      <c r="AA126" s="144" t="s">
        <v>1148</v>
      </c>
      <c r="AB126" s="144" t="s">
        <v>1149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>
        <v>0</v>
      </c>
      <c r="H127" s="198">
        <v>0</v>
      </c>
      <c r="I127" s="198">
        <v>0</v>
      </c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826</v>
      </c>
      <c r="X127" s="144" t="str">
        <f t="shared" si="12"/>
        <v>54</v>
      </c>
      <c r="Y127" s="144" t="str">
        <f t="shared" si="13"/>
        <v>544</v>
      </c>
      <c r="AA127" s="144" t="s">
        <v>1150</v>
      </c>
      <c r="AB127" s="144" t="s">
        <v>1151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>
        <v>0</v>
      </c>
      <c r="H128" s="198">
        <v>0</v>
      </c>
      <c r="I128" s="198">
        <v>0</v>
      </c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827</v>
      </c>
      <c r="X128" s="144" t="str">
        <f t="shared" si="12"/>
        <v>54</v>
      </c>
      <c r="Y128" s="144" t="str">
        <f t="shared" si="13"/>
        <v>545</v>
      </c>
      <c r="AA128" s="144" t="s">
        <v>1152</v>
      </c>
      <c r="AB128" s="144" t="s">
        <v>1153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>
        <v>0</v>
      </c>
      <c r="H129" s="198">
        <v>0</v>
      </c>
      <c r="I129" s="198">
        <v>0</v>
      </c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828</v>
      </c>
      <c r="X129" s="144" t="str">
        <f t="shared" si="12"/>
        <v>54</v>
      </c>
      <c r="Y129" s="144" t="str">
        <f t="shared" si="13"/>
        <v>547</v>
      </c>
      <c r="AA129" s="144" t="s">
        <v>1154</v>
      </c>
      <c r="AB129" s="144" t="s">
        <v>1155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>
        <v>0</v>
      </c>
      <c r="H130" s="198">
        <v>0</v>
      </c>
      <c r="I130" s="198">
        <v>0</v>
      </c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1156</v>
      </c>
      <c r="AB130" s="144" t="s">
        <v>1157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>
        <v>0</v>
      </c>
      <c r="H131" s="198">
        <v>0</v>
      </c>
      <c r="I131" s="198">
        <v>0</v>
      </c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1158</v>
      </c>
      <c r="AB131" s="144" t="s">
        <v>1159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>
        <v>0</v>
      </c>
      <c r="H132" s="198">
        <v>0</v>
      </c>
      <c r="I132" s="198">
        <v>0</v>
      </c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1160</v>
      </c>
      <c r="AB132" s="144" t="s">
        <v>1161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>
        <v>0</v>
      </c>
      <c r="H133" s="198">
        <v>0</v>
      </c>
      <c r="I133" s="198">
        <v>0</v>
      </c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1162</v>
      </c>
      <c r="AB133" s="144" t="s">
        <v>1163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>
        <v>0</v>
      </c>
      <c r="H134" s="198">
        <v>0</v>
      </c>
      <c r="I134" s="198">
        <v>0</v>
      </c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1164</v>
      </c>
      <c r="AB134" s="144" t="s">
        <v>1165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>
        <v>0</v>
      </c>
      <c r="H135" s="198">
        <v>0</v>
      </c>
      <c r="I135" s="198">
        <v>0</v>
      </c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1166</v>
      </c>
      <c r="AB135" s="144" t="s">
        <v>1167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>
        <v>0</v>
      </c>
      <c r="H136" s="198">
        <v>0</v>
      </c>
      <c r="I136" s="198">
        <v>0</v>
      </c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1168</v>
      </c>
      <c r="AB136" s="144" t="s">
        <v>1169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>
        <v>0</v>
      </c>
      <c r="H137" s="198">
        <v>0</v>
      </c>
      <c r="I137" s="198">
        <v>0</v>
      </c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1170</v>
      </c>
      <c r="AB137" s="144" t="s">
        <v>1171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>
        <v>0</v>
      </c>
      <c r="H138" s="198">
        <v>0</v>
      </c>
      <c r="I138" s="198">
        <v>0</v>
      </c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1172</v>
      </c>
      <c r="AB138" s="144" t="s">
        <v>1173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>
        <v>0</v>
      </c>
      <c r="H139" s="198">
        <v>0</v>
      </c>
      <c r="I139" s="198">
        <v>0</v>
      </c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1174</v>
      </c>
      <c r="AB139" s="144" t="s">
        <v>1175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>
        <v>0</v>
      </c>
      <c r="H140" s="198">
        <v>0</v>
      </c>
      <c r="I140" s="198">
        <v>0</v>
      </c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1176</v>
      </c>
      <c r="AB140" s="144" t="s">
        <v>1177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>
        <v>0</v>
      </c>
      <c r="H141" s="198">
        <v>0</v>
      </c>
      <c r="I141" s="198">
        <v>0</v>
      </c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1178</v>
      </c>
      <c r="AB141" s="144" t="s">
        <v>1179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>
        <v>0</v>
      </c>
      <c r="H142" s="198">
        <v>0</v>
      </c>
      <c r="I142" s="198">
        <v>0</v>
      </c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1180</v>
      </c>
      <c r="AB142" s="144" t="s">
        <v>1181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>
        <v>0</v>
      </c>
      <c r="H143" s="198">
        <v>0</v>
      </c>
      <c r="I143" s="198">
        <v>0</v>
      </c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1182</v>
      </c>
      <c r="AB143" s="144" t="s">
        <v>1183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>
        <v>0</v>
      </c>
      <c r="H144" s="198">
        <v>0</v>
      </c>
      <c r="I144" s="198">
        <v>0</v>
      </c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1184</v>
      </c>
      <c r="AB144" s="144" t="s">
        <v>1185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>
        <v>0</v>
      </c>
      <c r="H145" s="198">
        <v>0</v>
      </c>
      <c r="I145" s="198">
        <v>0</v>
      </c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1186</v>
      </c>
      <c r="AB145" s="144" t="s">
        <v>1187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>
        <v>0</v>
      </c>
      <c r="H146" s="198">
        <v>0</v>
      </c>
      <c r="I146" s="198">
        <v>0</v>
      </c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1188</v>
      </c>
      <c r="AB146" s="144" t="s">
        <v>1189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>
        <v>0</v>
      </c>
      <c r="H147" s="198">
        <v>0</v>
      </c>
      <c r="I147" s="198">
        <v>0</v>
      </c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1190</v>
      </c>
      <c r="AB147" s="144" t="s">
        <v>1191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>
        <v>0</v>
      </c>
      <c r="H148" s="198">
        <v>0</v>
      </c>
      <c r="I148" s="198">
        <v>0</v>
      </c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1192</v>
      </c>
      <c r="AB148" s="144" t="s">
        <v>1193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>
        <v>0</v>
      </c>
      <c r="H149" s="198">
        <v>0</v>
      </c>
      <c r="I149" s="198">
        <v>0</v>
      </c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1194</v>
      </c>
      <c r="AB149" s="144" t="s">
        <v>369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>
        <v>0</v>
      </c>
      <c r="H150" s="198">
        <v>0</v>
      </c>
      <c r="I150" s="198">
        <v>0</v>
      </c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1195</v>
      </c>
      <c r="AB150" s="144" t="s">
        <v>370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>
        <v>0</v>
      </c>
      <c r="H151" s="198">
        <v>0</v>
      </c>
      <c r="I151" s="198">
        <v>0</v>
      </c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1196</v>
      </c>
      <c r="AB151" s="144" t="s">
        <v>1197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>
        <v>0</v>
      </c>
      <c r="H152" s="198">
        <v>0</v>
      </c>
      <c r="I152" s="198">
        <v>0</v>
      </c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1198</v>
      </c>
      <c r="AB152" s="144" t="s">
        <v>1199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>
        <v>0</v>
      </c>
      <c r="H153" s="198">
        <v>0</v>
      </c>
      <c r="I153" s="198">
        <v>0</v>
      </c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1200</v>
      </c>
      <c r="AB153" s="144" t="s">
        <v>1201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>
        <v>0</v>
      </c>
      <c r="H154" s="198">
        <v>0</v>
      </c>
      <c r="I154" s="198">
        <v>0</v>
      </c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1202</v>
      </c>
      <c r="AB154" s="144" t="s">
        <v>1203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>
        <v>0</v>
      </c>
      <c r="H155" s="198">
        <v>0</v>
      </c>
      <c r="I155" s="198">
        <v>0</v>
      </c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1204</v>
      </c>
      <c r="AB155" s="144" t="s">
        <v>1205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>
        <v>0</v>
      </c>
      <c r="H156" s="198">
        <v>0</v>
      </c>
      <c r="I156" s="198">
        <v>0</v>
      </c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1206</v>
      </c>
      <c r="AB156" s="144" t="s">
        <v>1207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>
        <v>0</v>
      </c>
      <c r="H157" s="198">
        <v>0</v>
      </c>
      <c r="I157" s="198">
        <v>0</v>
      </c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1208</v>
      </c>
      <c r="AB157" s="144" t="s">
        <v>1209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>
        <v>0</v>
      </c>
      <c r="H158" s="198">
        <v>0</v>
      </c>
      <c r="I158" s="198">
        <v>0</v>
      </c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1210</v>
      </c>
      <c r="AB158" s="144" t="s">
        <v>1211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>
        <v>0</v>
      </c>
      <c r="H159" s="198">
        <v>0</v>
      </c>
      <c r="I159" s="198">
        <v>0</v>
      </c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1212</v>
      </c>
      <c r="AB159" s="144" t="s">
        <v>1213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>
        <v>0</v>
      </c>
      <c r="H160" s="198">
        <v>0</v>
      </c>
      <c r="I160" s="198">
        <v>0</v>
      </c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1214</v>
      </c>
      <c r="AB160" s="144" t="s">
        <v>1215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>
        <v>0</v>
      </c>
      <c r="H161" s="198">
        <v>0</v>
      </c>
      <c r="I161" s="198">
        <v>0</v>
      </c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1216</v>
      </c>
      <c r="AB161" s="144" t="s">
        <v>1217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>
        <v>0</v>
      </c>
      <c r="H162" s="198">
        <v>0</v>
      </c>
      <c r="I162" s="198">
        <v>0</v>
      </c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1218</v>
      </c>
      <c r="AB162" s="144" t="s">
        <v>1219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>
        <v>0</v>
      </c>
      <c r="H163" s="198">
        <v>0</v>
      </c>
      <c r="I163" s="198">
        <v>0</v>
      </c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1220</v>
      </c>
      <c r="AB163" s="144" t="s">
        <v>1221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>
        <v>0</v>
      </c>
      <c r="H164" s="198">
        <v>0</v>
      </c>
      <c r="I164" s="198">
        <v>0</v>
      </c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1222</v>
      </c>
      <c r="AB164" s="144" t="s">
        <v>1223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>
        <v>0</v>
      </c>
      <c r="H165" s="198">
        <v>0</v>
      </c>
      <c r="I165" s="198">
        <v>0</v>
      </c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1224</v>
      </c>
      <c r="AB165" s="144" t="s">
        <v>1225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>
        <v>0</v>
      </c>
      <c r="H166" s="198">
        <v>0</v>
      </c>
      <c r="I166" s="198">
        <v>0</v>
      </c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1226</v>
      </c>
      <c r="AB166" s="144" t="s">
        <v>1227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>
        <v>0</v>
      </c>
      <c r="H167" s="198">
        <v>0</v>
      </c>
      <c r="I167" s="198">
        <v>0</v>
      </c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1228</v>
      </c>
      <c r="AB167" s="144" t="s">
        <v>1229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>
        <v>0</v>
      </c>
      <c r="H168" s="198">
        <v>0</v>
      </c>
      <c r="I168" s="198">
        <v>0</v>
      </c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1230</v>
      </c>
      <c r="AB168" s="144" t="s">
        <v>1231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>
        <v>0</v>
      </c>
      <c r="H169" s="198">
        <v>0</v>
      </c>
      <c r="I169" s="198">
        <v>0</v>
      </c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1232</v>
      </c>
      <c r="AB169" s="144" t="s">
        <v>1233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>
        <v>0</v>
      </c>
      <c r="H170" s="198">
        <v>0</v>
      </c>
      <c r="I170" s="198">
        <v>0</v>
      </c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1234</v>
      </c>
      <c r="AB170" s="144" t="s">
        <v>1235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>
        <v>0</v>
      </c>
      <c r="H171" s="198">
        <v>0</v>
      </c>
      <c r="I171" s="198">
        <v>0</v>
      </c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1236</v>
      </c>
      <c r="AB171" s="144" t="s">
        <v>1237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>
        <v>0</v>
      </c>
      <c r="H172" s="198">
        <v>0</v>
      </c>
      <c r="I172" s="198">
        <v>0</v>
      </c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1238</v>
      </c>
      <c r="AB172" s="144" t="s">
        <v>1239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>
        <v>0</v>
      </c>
      <c r="H173" s="198">
        <v>0</v>
      </c>
      <c r="I173" s="198">
        <v>0</v>
      </c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1240</v>
      </c>
      <c r="AB173" s="144" t="s">
        <v>1241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>
        <v>0</v>
      </c>
      <c r="H174" s="198">
        <v>0</v>
      </c>
      <c r="I174" s="198">
        <v>0</v>
      </c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1242</v>
      </c>
      <c r="AB174" s="144" t="s">
        <v>1243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>
        <v>0</v>
      </c>
      <c r="H175" s="198">
        <v>0</v>
      </c>
      <c r="I175" s="198">
        <v>0</v>
      </c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1244</v>
      </c>
      <c r="AB175" s="144" t="s">
        <v>1245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>
        <v>0</v>
      </c>
      <c r="H176" s="198">
        <v>0</v>
      </c>
      <c r="I176" s="198">
        <v>0</v>
      </c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1246</v>
      </c>
      <c r="AB176" s="144" t="s">
        <v>1247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>
        <v>0</v>
      </c>
      <c r="H177" s="198">
        <v>0</v>
      </c>
      <c r="I177" s="198">
        <v>0</v>
      </c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1248</v>
      </c>
      <c r="AB177" s="144" t="s">
        <v>1249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>
        <v>0</v>
      </c>
      <c r="H178" s="198">
        <v>0</v>
      </c>
      <c r="I178" s="198">
        <v>0</v>
      </c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1250</v>
      </c>
      <c r="AB178" s="144" t="s">
        <v>1251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>
        <v>0</v>
      </c>
      <c r="H179" s="198">
        <v>0</v>
      </c>
      <c r="I179" s="198">
        <v>0</v>
      </c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1252</v>
      </c>
      <c r="AB179" s="144" t="s">
        <v>1253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>
        <v>0</v>
      </c>
      <c r="H180" s="198">
        <v>0</v>
      </c>
      <c r="I180" s="198">
        <v>0</v>
      </c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1254</v>
      </c>
      <c r="AB180" s="144" t="s">
        <v>1255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>
        <v>0</v>
      </c>
      <c r="H181" s="198">
        <v>0</v>
      </c>
      <c r="I181" s="198">
        <v>0</v>
      </c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1256</v>
      </c>
      <c r="AB181" s="144" t="s">
        <v>1257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>
        <v>0</v>
      </c>
      <c r="H182" s="198">
        <v>0</v>
      </c>
      <c r="I182" s="198">
        <v>0</v>
      </c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1258</v>
      </c>
      <c r="AB182" s="144" t="s">
        <v>1259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>
        <v>0</v>
      </c>
      <c r="H183" s="198">
        <v>0</v>
      </c>
      <c r="I183" s="198">
        <v>0</v>
      </c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1260</v>
      </c>
      <c r="AB183" s="144" t="s">
        <v>1261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>
        <v>0</v>
      </c>
      <c r="H184" s="198">
        <v>0</v>
      </c>
      <c r="I184" s="198">
        <v>0</v>
      </c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1262</v>
      </c>
      <c r="AB184" s="144" t="s">
        <v>1263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>
        <v>0</v>
      </c>
      <c r="H185" s="198">
        <v>0</v>
      </c>
      <c r="I185" s="198">
        <v>0</v>
      </c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1264</v>
      </c>
      <c r="AB185" s="144" t="s">
        <v>1265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>
        <v>0</v>
      </c>
      <c r="H186" s="198">
        <v>0</v>
      </c>
      <c r="I186" s="198">
        <v>0</v>
      </c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1266</v>
      </c>
      <c r="AB186" s="144" t="s">
        <v>1267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>
        <v>0</v>
      </c>
      <c r="H187" s="198">
        <v>0</v>
      </c>
      <c r="I187" s="198">
        <v>0</v>
      </c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1268</v>
      </c>
      <c r="AB187" s="144" t="s">
        <v>1269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>
        <v>0</v>
      </c>
      <c r="H188" s="198">
        <v>0</v>
      </c>
      <c r="I188" s="198">
        <v>0</v>
      </c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1270</v>
      </c>
      <c r="AB188" s="144" t="s">
        <v>1271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>
        <v>0</v>
      </c>
      <c r="H189" s="198">
        <v>0</v>
      </c>
      <c r="I189" s="198">
        <v>0</v>
      </c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1272</v>
      </c>
      <c r="AB189" s="144" t="s">
        <v>1273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>
        <v>0</v>
      </c>
      <c r="H190" s="198">
        <v>0</v>
      </c>
      <c r="I190" s="198">
        <v>0</v>
      </c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1274</v>
      </c>
      <c r="AB190" s="144" t="s">
        <v>1275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>
        <v>0</v>
      </c>
      <c r="H191" s="198">
        <v>0</v>
      </c>
      <c r="I191" s="198">
        <v>0</v>
      </c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1276</v>
      </c>
      <c r="AB191" s="144" t="s">
        <v>369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>
        <v>0</v>
      </c>
      <c r="H192" s="198">
        <v>0</v>
      </c>
      <c r="I192" s="198">
        <v>0</v>
      </c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1277</v>
      </c>
      <c r="AB192" s="144" t="s">
        <v>370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>
        <v>0</v>
      </c>
      <c r="H193" s="198">
        <v>0</v>
      </c>
      <c r="I193" s="198">
        <v>0</v>
      </c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1278</v>
      </c>
      <c r="AB193" s="144" t="s">
        <v>1279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>
        <v>0</v>
      </c>
      <c r="H194" s="198">
        <v>0</v>
      </c>
      <c r="I194" s="198">
        <v>0</v>
      </c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1280</v>
      </c>
      <c r="AB194" s="144" t="s">
        <v>1197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>
        <v>0</v>
      </c>
      <c r="H195" s="198">
        <v>0</v>
      </c>
      <c r="I195" s="198">
        <v>0</v>
      </c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>
        <v>0</v>
      </c>
      <c r="H196" s="198">
        <v>0</v>
      </c>
      <c r="I196" s="198">
        <v>0</v>
      </c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>
        <v>0</v>
      </c>
      <c r="H197" s="198">
        <v>0</v>
      </c>
      <c r="I197" s="198">
        <v>0</v>
      </c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>
        <v>0</v>
      </c>
      <c r="H198" s="198">
        <v>0</v>
      </c>
      <c r="I198" s="198">
        <v>0</v>
      </c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>
        <v>0</v>
      </c>
      <c r="H199" s="198">
        <v>0</v>
      </c>
      <c r="I199" s="198">
        <v>0</v>
      </c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>
        <v>0</v>
      </c>
      <c r="H200" s="198">
        <v>0</v>
      </c>
      <c r="I200" s="198">
        <v>0</v>
      </c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>
        <v>0</v>
      </c>
      <c r="H201" s="198">
        <v>0</v>
      </c>
      <c r="I201" s="198">
        <v>0</v>
      </c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>
        <v>0</v>
      </c>
      <c r="H202" s="198">
        <v>0</v>
      </c>
      <c r="I202" s="198">
        <v>0</v>
      </c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>
        <v>0</v>
      </c>
      <c r="H203" s="198">
        <v>0</v>
      </c>
      <c r="I203" s="198">
        <v>0</v>
      </c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>
        <v>0</v>
      </c>
      <c r="H204" s="198">
        <v>0</v>
      </c>
      <c r="I204" s="198">
        <v>0</v>
      </c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>
        <v>0</v>
      </c>
      <c r="H205" s="198">
        <v>0</v>
      </c>
      <c r="I205" s="198">
        <v>0</v>
      </c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>
        <v>0</v>
      </c>
      <c r="H206" s="198">
        <v>0</v>
      </c>
      <c r="I206" s="198">
        <v>0</v>
      </c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>
        <v>0</v>
      </c>
      <c r="H207" s="198">
        <v>0</v>
      </c>
      <c r="I207" s="198">
        <v>0</v>
      </c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>
        <v>0</v>
      </c>
      <c r="H208" s="198">
        <v>0</v>
      </c>
      <c r="I208" s="198">
        <v>0</v>
      </c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>
        <v>0</v>
      </c>
      <c r="H209" s="198">
        <v>0</v>
      </c>
      <c r="I209" s="198">
        <v>0</v>
      </c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>
        <v>0</v>
      </c>
      <c r="H210" s="198">
        <v>0</v>
      </c>
      <c r="I210" s="198">
        <v>0</v>
      </c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>
        <v>0</v>
      </c>
      <c r="H211" s="198">
        <v>0</v>
      </c>
      <c r="I211" s="198">
        <v>0</v>
      </c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>
        <v>0</v>
      </c>
      <c r="H212" s="198">
        <v>0</v>
      </c>
      <c r="I212" s="198">
        <v>0</v>
      </c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>
        <v>0</v>
      </c>
      <c r="H213" s="198">
        <v>0</v>
      </c>
      <c r="I213" s="198">
        <v>0</v>
      </c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>
        <v>0</v>
      </c>
      <c r="H214" s="198">
        <v>0</v>
      </c>
      <c r="I214" s="198">
        <v>0</v>
      </c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>
        <v>0</v>
      </c>
      <c r="H215" s="198">
        <v>0</v>
      </c>
      <c r="I215" s="198">
        <v>0</v>
      </c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>
        <v>0</v>
      </c>
      <c r="H216" s="198">
        <v>0</v>
      </c>
      <c r="I216" s="198">
        <v>0</v>
      </c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>
        <v>0</v>
      </c>
      <c r="H217" s="198">
        <v>0</v>
      </c>
      <c r="I217" s="198">
        <v>0</v>
      </c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>
        <v>0</v>
      </c>
      <c r="H218" s="198">
        <v>0</v>
      </c>
      <c r="I218" s="198">
        <v>0</v>
      </c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>
        <v>0</v>
      </c>
      <c r="H219" s="198">
        <v>0</v>
      </c>
      <c r="I219" s="198">
        <v>0</v>
      </c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>
        <v>0</v>
      </c>
      <c r="H220" s="198">
        <v>0</v>
      </c>
      <c r="I220" s="198">
        <v>0</v>
      </c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>
        <v>0</v>
      </c>
      <c r="H221" s="198">
        <v>0</v>
      </c>
      <c r="I221" s="198">
        <v>0</v>
      </c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>
        <v>0</v>
      </c>
      <c r="H222" s="198">
        <v>0</v>
      </c>
      <c r="I222" s="198">
        <v>0</v>
      </c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>
        <v>0</v>
      </c>
      <c r="H223" s="198">
        <v>0</v>
      </c>
      <c r="I223" s="198">
        <v>0</v>
      </c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>
        <v>0</v>
      </c>
      <c r="H224" s="198">
        <v>0</v>
      </c>
      <c r="I224" s="198">
        <v>0</v>
      </c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>
        <v>0</v>
      </c>
      <c r="H225" s="198">
        <v>0</v>
      </c>
      <c r="I225" s="198">
        <v>0</v>
      </c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>
        <v>0</v>
      </c>
      <c r="H226" s="198">
        <v>0</v>
      </c>
      <c r="I226" s="198">
        <v>0</v>
      </c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>
        <v>0</v>
      </c>
      <c r="H227" s="198">
        <v>0</v>
      </c>
      <c r="I227" s="198">
        <v>0</v>
      </c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>
        <v>0</v>
      </c>
      <c r="H228" s="198">
        <v>0</v>
      </c>
      <c r="I228" s="198">
        <v>0</v>
      </c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>
        <v>0</v>
      </c>
      <c r="H229" s="198">
        <v>0</v>
      </c>
      <c r="I229" s="198">
        <v>0</v>
      </c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>
        <v>0</v>
      </c>
      <c r="H230" s="198">
        <v>0</v>
      </c>
      <c r="I230" s="198">
        <v>0</v>
      </c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>
        <v>0</v>
      </c>
      <c r="H231" s="198">
        <v>0</v>
      </c>
      <c r="I231" s="198">
        <v>0</v>
      </c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>
        <v>0</v>
      </c>
      <c r="H232" s="198">
        <v>0</v>
      </c>
      <c r="I232" s="198">
        <v>0</v>
      </c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>
        <v>0</v>
      </c>
      <c r="H233" s="198">
        <v>0</v>
      </c>
      <c r="I233" s="198">
        <v>0</v>
      </c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>
        <v>0</v>
      </c>
      <c r="H234" s="198">
        <v>0</v>
      </c>
      <c r="I234" s="198">
        <v>0</v>
      </c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>
        <v>0</v>
      </c>
      <c r="H235" s="198">
        <v>0</v>
      </c>
      <c r="I235" s="198">
        <v>0</v>
      </c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>
        <v>0</v>
      </c>
      <c r="H236" s="198">
        <v>0</v>
      </c>
      <c r="I236" s="198">
        <v>0</v>
      </c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>
        <v>0</v>
      </c>
      <c r="H237" s="198">
        <v>0</v>
      </c>
      <c r="I237" s="198">
        <v>0</v>
      </c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>
        <v>0</v>
      </c>
      <c r="H238" s="198">
        <v>0</v>
      </c>
      <c r="I238" s="198">
        <v>0</v>
      </c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>
        <v>0</v>
      </c>
      <c r="H239" s="198">
        <v>0</v>
      </c>
      <c r="I239" s="198">
        <v>0</v>
      </c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>
        <v>0</v>
      </c>
      <c r="H240" s="198">
        <v>0</v>
      </c>
      <c r="I240" s="198">
        <v>0</v>
      </c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>
        <v>0</v>
      </c>
      <c r="H241" s="198">
        <v>0</v>
      </c>
      <c r="I241" s="198">
        <v>0</v>
      </c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>
        <v>0</v>
      </c>
      <c r="H242" s="198">
        <v>0</v>
      </c>
      <c r="I242" s="198">
        <v>0</v>
      </c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>
        <v>0</v>
      </c>
      <c r="H243" s="198">
        <v>0</v>
      </c>
      <c r="I243" s="198">
        <v>0</v>
      </c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>
        <v>0</v>
      </c>
      <c r="H244" s="198">
        <v>0</v>
      </c>
      <c r="I244" s="198">
        <v>0</v>
      </c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>
        <v>0</v>
      </c>
      <c r="H245" s="198">
        <v>0</v>
      </c>
      <c r="I245" s="198">
        <v>0</v>
      </c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>
        <v>0</v>
      </c>
      <c r="H246" s="198">
        <v>0</v>
      </c>
      <c r="I246" s="198">
        <v>0</v>
      </c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>
        <v>0</v>
      </c>
      <c r="H247" s="198">
        <v>0</v>
      </c>
      <c r="I247" s="198">
        <v>0</v>
      </c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>
        <v>0</v>
      </c>
      <c r="H248" s="198">
        <v>0</v>
      </c>
      <c r="I248" s="198">
        <v>0</v>
      </c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>
        <v>0</v>
      </c>
      <c r="H249" s="198">
        <v>0</v>
      </c>
      <c r="I249" s="198">
        <v>0</v>
      </c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>
        <v>0</v>
      </c>
      <c r="H250" s="198">
        <v>0</v>
      </c>
      <c r="I250" s="198">
        <v>0</v>
      </c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>
        <v>0</v>
      </c>
      <c r="H251" s="198">
        <v>0</v>
      </c>
      <c r="I251" s="198">
        <v>0</v>
      </c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>
        <v>0</v>
      </c>
      <c r="H252" s="198">
        <v>0</v>
      </c>
      <c r="I252" s="198">
        <v>0</v>
      </c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>
        <v>0</v>
      </c>
      <c r="H253" s="198">
        <v>0</v>
      </c>
      <c r="I253" s="198">
        <v>0</v>
      </c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>
        <v>0</v>
      </c>
      <c r="H254" s="198">
        <v>0</v>
      </c>
      <c r="I254" s="198">
        <v>0</v>
      </c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>
        <v>0</v>
      </c>
      <c r="H255" s="198">
        <v>0</v>
      </c>
      <c r="I255" s="198">
        <v>0</v>
      </c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>
        <v>0</v>
      </c>
      <c r="H256" s="198">
        <v>0</v>
      </c>
      <c r="I256" s="198">
        <v>0</v>
      </c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>
        <v>0</v>
      </c>
      <c r="H257" s="198">
        <v>0</v>
      </c>
      <c r="I257" s="198">
        <v>0</v>
      </c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>
        <v>0</v>
      </c>
      <c r="H258" s="198">
        <v>0</v>
      </c>
      <c r="I258" s="198">
        <v>0</v>
      </c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>
        <v>0</v>
      </c>
      <c r="H259" s="198">
        <v>0</v>
      </c>
      <c r="I259" s="198">
        <v>0</v>
      </c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>
        <v>0</v>
      </c>
      <c r="H260" s="198">
        <v>0</v>
      </c>
      <c r="I260" s="198">
        <v>0</v>
      </c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>
        <v>0</v>
      </c>
      <c r="H261" s="198">
        <v>0</v>
      </c>
      <c r="I261" s="198">
        <v>0</v>
      </c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>
        <v>0</v>
      </c>
      <c r="H262" s="198">
        <v>0</v>
      </c>
      <c r="I262" s="198">
        <v>0</v>
      </c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>
        <v>0</v>
      </c>
      <c r="H263" s="198">
        <v>0</v>
      </c>
      <c r="I263" s="198">
        <v>0</v>
      </c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>
        <v>0</v>
      </c>
      <c r="H264" s="198">
        <v>0</v>
      </c>
      <c r="I264" s="198">
        <v>0</v>
      </c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>
        <v>0</v>
      </c>
      <c r="H265" s="198">
        <v>0</v>
      </c>
      <c r="I265" s="198">
        <v>0</v>
      </c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>
        <v>0</v>
      </c>
      <c r="H266" s="198">
        <v>0</v>
      </c>
      <c r="I266" s="198">
        <v>0</v>
      </c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>
        <v>0</v>
      </c>
      <c r="H267" s="198">
        <v>0</v>
      </c>
      <c r="I267" s="198">
        <v>0</v>
      </c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>
        <v>0</v>
      </c>
      <c r="H268" s="198">
        <v>0</v>
      </c>
      <c r="I268" s="198">
        <v>0</v>
      </c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>
        <v>0</v>
      </c>
      <c r="H269" s="198">
        <v>0</v>
      </c>
      <c r="I269" s="198">
        <v>0</v>
      </c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>
        <v>0</v>
      </c>
      <c r="H270" s="198">
        <v>0</v>
      </c>
      <c r="I270" s="198">
        <v>0</v>
      </c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>
        <v>0</v>
      </c>
      <c r="H271" s="198">
        <v>0</v>
      </c>
      <c r="I271" s="198">
        <v>0</v>
      </c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>
        <v>0</v>
      </c>
      <c r="H272" s="198">
        <v>0</v>
      </c>
      <c r="I272" s="198">
        <v>0</v>
      </c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>
        <v>0</v>
      </c>
      <c r="H273" s="198">
        <v>0</v>
      </c>
      <c r="I273" s="198">
        <v>0</v>
      </c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>
        <v>0</v>
      </c>
      <c r="H274" s="198">
        <v>0</v>
      </c>
      <c r="I274" s="198">
        <v>0</v>
      </c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>
        <v>0</v>
      </c>
      <c r="H275" s="198">
        <v>0</v>
      </c>
      <c r="I275" s="198">
        <v>0</v>
      </c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>
        <v>0</v>
      </c>
      <c r="H276" s="198">
        <v>0</v>
      </c>
      <c r="I276" s="198">
        <v>0</v>
      </c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>
        <v>0</v>
      </c>
      <c r="H277" s="198">
        <v>0</v>
      </c>
      <c r="I277" s="198">
        <v>0</v>
      </c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>
        <v>0</v>
      </c>
      <c r="H278" s="198">
        <v>0</v>
      </c>
      <c r="I278" s="198">
        <v>0</v>
      </c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>
        <v>0</v>
      </c>
      <c r="H279" s="198">
        <v>0</v>
      </c>
      <c r="I279" s="198">
        <v>0</v>
      </c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>
        <v>0</v>
      </c>
      <c r="H280" s="198">
        <v>0</v>
      </c>
      <c r="I280" s="198">
        <v>0</v>
      </c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>
        <v>0</v>
      </c>
      <c r="H281" s="198">
        <v>0</v>
      </c>
      <c r="I281" s="198">
        <v>0</v>
      </c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>
        <v>0</v>
      </c>
      <c r="H282" s="198">
        <v>0</v>
      </c>
      <c r="I282" s="198">
        <v>0</v>
      </c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>
        <v>0</v>
      </c>
      <c r="H283" s="198">
        <v>0</v>
      </c>
      <c r="I283" s="198">
        <v>0</v>
      </c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>
        <v>0</v>
      </c>
      <c r="H284" s="198">
        <v>0</v>
      </c>
      <c r="I284" s="198">
        <v>0</v>
      </c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>
        <v>0</v>
      </c>
      <c r="H285" s="198">
        <v>0</v>
      </c>
      <c r="I285" s="198">
        <v>0</v>
      </c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>
        <v>0</v>
      </c>
      <c r="H286" s="198">
        <v>0</v>
      </c>
      <c r="I286" s="198">
        <v>0</v>
      </c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>
        <v>0</v>
      </c>
      <c r="H287" s="198">
        <v>0</v>
      </c>
      <c r="I287" s="198">
        <v>0</v>
      </c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>
        <v>0</v>
      </c>
      <c r="H288" s="198">
        <v>0</v>
      </c>
      <c r="I288" s="198">
        <v>0</v>
      </c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>
        <v>0</v>
      </c>
      <c r="H289" s="198">
        <v>0</v>
      </c>
      <c r="I289" s="198">
        <v>0</v>
      </c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>
        <v>0</v>
      </c>
      <c r="H290" s="198">
        <v>0</v>
      </c>
      <c r="I290" s="198">
        <v>0</v>
      </c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>
        <v>0</v>
      </c>
      <c r="H291" s="198">
        <v>0</v>
      </c>
      <c r="I291" s="198">
        <v>0</v>
      </c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>
        <v>0</v>
      </c>
      <c r="H292" s="198">
        <v>0</v>
      </c>
      <c r="I292" s="198">
        <v>0</v>
      </c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>
        <v>0</v>
      </c>
      <c r="H293" s="198">
        <v>0</v>
      </c>
      <c r="I293" s="198">
        <v>0</v>
      </c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>
        <v>0</v>
      </c>
      <c r="H294" s="198">
        <v>0</v>
      </c>
      <c r="I294" s="198">
        <v>0</v>
      </c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>
        <v>0</v>
      </c>
      <c r="H295" s="198">
        <v>0</v>
      </c>
      <c r="I295" s="198">
        <v>0</v>
      </c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>
        <v>0</v>
      </c>
      <c r="H296" s="198">
        <v>0</v>
      </c>
      <c r="I296" s="198">
        <v>0</v>
      </c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>
        <v>0</v>
      </c>
      <c r="H297" s="198">
        <v>0</v>
      </c>
      <c r="I297" s="198">
        <v>0</v>
      </c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>
        <v>0</v>
      </c>
      <c r="H298" s="198">
        <v>0</v>
      </c>
      <c r="I298" s="198">
        <v>0</v>
      </c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>
        <v>0</v>
      </c>
      <c r="H299" s="198">
        <v>0</v>
      </c>
      <c r="I299" s="198">
        <v>0</v>
      </c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>
        <v>0</v>
      </c>
      <c r="H300" s="198">
        <v>0</v>
      </c>
      <c r="I300" s="198">
        <v>0</v>
      </c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>
        <v>0</v>
      </c>
      <c r="H301" s="198">
        <v>0</v>
      </c>
      <c r="I301" s="198">
        <v>0</v>
      </c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>
        <v>0</v>
      </c>
      <c r="H302" s="198">
        <v>0</v>
      </c>
      <c r="I302" s="198">
        <v>0</v>
      </c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>
        <v>0</v>
      </c>
      <c r="H303" s="198">
        <v>0</v>
      </c>
      <c r="I303" s="198">
        <v>0</v>
      </c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>
        <v>0</v>
      </c>
      <c r="H304" s="198">
        <v>0</v>
      </c>
      <c r="I304" s="198">
        <v>0</v>
      </c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>
        <v>0</v>
      </c>
      <c r="H305" s="198">
        <v>0</v>
      </c>
      <c r="I305" s="198">
        <v>0</v>
      </c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>
        <v>0</v>
      </c>
      <c r="H306" s="198">
        <v>0</v>
      </c>
      <c r="I306" s="198">
        <v>0</v>
      </c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>
        <v>0</v>
      </c>
      <c r="H307" s="198">
        <v>0</v>
      </c>
      <c r="I307" s="198">
        <v>0</v>
      </c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>
        <v>0</v>
      </c>
      <c r="H308" s="198">
        <v>0</v>
      </c>
      <c r="I308" s="198">
        <v>0</v>
      </c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>
        <v>0</v>
      </c>
      <c r="H309" s="198">
        <v>0</v>
      </c>
      <c r="I309" s="198">
        <v>0</v>
      </c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>
        <v>0</v>
      </c>
      <c r="H310" s="198">
        <v>0</v>
      </c>
      <c r="I310" s="198">
        <v>0</v>
      </c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>
        <v>0</v>
      </c>
      <c r="H311" s="198">
        <v>0</v>
      </c>
      <c r="I311" s="198">
        <v>0</v>
      </c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>
        <v>0</v>
      </c>
      <c r="H312" s="198">
        <v>0</v>
      </c>
      <c r="I312" s="198">
        <v>0</v>
      </c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>
        <v>0</v>
      </c>
      <c r="H313" s="198">
        <v>0</v>
      </c>
      <c r="I313" s="198">
        <v>0</v>
      </c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>
        <v>0</v>
      </c>
      <c r="H314" s="198">
        <v>0</v>
      </c>
      <c r="I314" s="198">
        <v>0</v>
      </c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>
        <v>0</v>
      </c>
      <c r="H315" s="198">
        <v>0</v>
      </c>
      <c r="I315" s="198">
        <v>0</v>
      </c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>
        <v>0</v>
      </c>
      <c r="H316" s="198">
        <v>0</v>
      </c>
      <c r="I316" s="198">
        <v>0</v>
      </c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>
        <v>0</v>
      </c>
      <c r="H317" s="198">
        <v>0</v>
      </c>
      <c r="I317" s="198">
        <v>0</v>
      </c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>
        <v>0</v>
      </c>
      <c r="H318" s="198">
        <v>0</v>
      </c>
      <c r="I318" s="198">
        <v>0</v>
      </c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>
        <v>0</v>
      </c>
      <c r="H319" s="198">
        <v>0</v>
      </c>
      <c r="I319" s="198">
        <v>0</v>
      </c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>
        <v>0</v>
      </c>
      <c r="H320" s="198">
        <v>0</v>
      </c>
      <c r="I320" s="198">
        <v>0</v>
      </c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>
        <v>0</v>
      </c>
      <c r="H321" s="198">
        <v>0</v>
      </c>
      <c r="I321" s="198">
        <v>0</v>
      </c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>
        <v>0</v>
      </c>
      <c r="H322" s="198">
        <v>0</v>
      </c>
      <c r="I322" s="198">
        <v>0</v>
      </c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>
        <v>0</v>
      </c>
      <c r="H323" s="198">
        <v>0</v>
      </c>
      <c r="I323" s="198">
        <v>0</v>
      </c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>
        <v>0</v>
      </c>
      <c r="H324" s="198">
        <v>0</v>
      </c>
      <c r="I324" s="198">
        <v>0</v>
      </c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>
        <v>0</v>
      </c>
      <c r="H325" s="198">
        <v>0</v>
      </c>
      <c r="I325" s="198">
        <v>0</v>
      </c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>
        <v>0</v>
      </c>
      <c r="H326" s="198">
        <v>0</v>
      </c>
      <c r="I326" s="198">
        <v>0</v>
      </c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>
        <v>0</v>
      </c>
      <c r="H327" s="198">
        <v>0</v>
      </c>
      <c r="I327" s="198">
        <v>0</v>
      </c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>
        <v>0</v>
      </c>
      <c r="H328" s="198">
        <v>0</v>
      </c>
      <c r="I328" s="198">
        <v>0</v>
      </c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>
        <v>0</v>
      </c>
      <c r="H329" s="198">
        <v>0</v>
      </c>
      <c r="I329" s="198">
        <v>0</v>
      </c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>
        <v>0</v>
      </c>
      <c r="H330" s="198">
        <v>0</v>
      </c>
      <c r="I330" s="198">
        <v>0</v>
      </c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>
        <v>0</v>
      </c>
      <c r="H331" s="198">
        <v>0</v>
      </c>
      <c r="I331" s="198">
        <v>0</v>
      </c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>
        <v>0</v>
      </c>
      <c r="H332" s="198">
        <v>0</v>
      </c>
      <c r="I332" s="198">
        <v>0</v>
      </c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>
        <v>0</v>
      </c>
      <c r="H333" s="198">
        <v>0</v>
      </c>
      <c r="I333" s="198">
        <v>0</v>
      </c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>
        <v>0</v>
      </c>
      <c r="H334" s="198">
        <v>0</v>
      </c>
      <c r="I334" s="198">
        <v>0</v>
      </c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>
        <v>0</v>
      </c>
      <c r="H335" s="198">
        <v>0</v>
      </c>
      <c r="I335" s="198">
        <v>0</v>
      </c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>
        <v>0</v>
      </c>
      <c r="H336" s="198">
        <v>0</v>
      </c>
      <c r="I336" s="198">
        <v>0</v>
      </c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>
        <v>0</v>
      </c>
      <c r="H337" s="198">
        <v>0</v>
      </c>
      <c r="I337" s="198">
        <v>0</v>
      </c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>
        <v>0</v>
      </c>
      <c r="H338" s="198">
        <v>0</v>
      </c>
      <c r="I338" s="198">
        <v>0</v>
      </c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>
        <v>0</v>
      </c>
      <c r="H339" s="198">
        <v>0</v>
      </c>
      <c r="I339" s="198">
        <v>0</v>
      </c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>
        <v>0</v>
      </c>
      <c r="H340" s="198">
        <v>0</v>
      </c>
      <c r="I340" s="198">
        <v>0</v>
      </c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>
        <v>0</v>
      </c>
      <c r="H341" s="198">
        <v>0</v>
      </c>
      <c r="I341" s="198">
        <v>0</v>
      </c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>
        <v>0</v>
      </c>
      <c r="H342" s="198">
        <v>0</v>
      </c>
      <c r="I342" s="198">
        <v>0</v>
      </c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>
        <v>0</v>
      </c>
      <c r="H343" s="198">
        <v>0</v>
      </c>
      <c r="I343" s="198">
        <v>0</v>
      </c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>
        <v>0</v>
      </c>
      <c r="H344" s="198">
        <v>0</v>
      </c>
      <c r="I344" s="198">
        <v>0</v>
      </c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>
        <v>0</v>
      </c>
      <c r="H345" s="198">
        <v>0</v>
      </c>
      <c r="I345" s="198">
        <v>0</v>
      </c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>
        <v>0</v>
      </c>
      <c r="H346" s="198">
        <v>0</v>
      </c>
      <c r="I346" s="198">
        <v>0</v>
      </c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>
        <v>0</v>
      </c>
      <c r="H347" s="198">
        <v>0</v>
      </c>
      <c r="I347" s="198">
        <v>0</v>
      </c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>
        <v>0</v>
      </c>
      <c r="H348" s="198">
        <v>0</v>
      </c>
      <c r="I348" s="198">
        <v>0</v>
      </c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>
        <v>0</v>
      </c>
      <c r="H349" s="198">
        <v>0</v>
      </c>
      <c r="I349" s="198">
        <v>0</v>
      </c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>
        <v>0</v>
      </c>
      <c r="H350" s="198">
        <v>0</v>
      </c>
      <c r="I350" s="198">
        <v>0</v>
      </c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>
        <v>0</v>
      </c>
      <c r="H351" s="198">
        <v>0</v>
      </c>
      <c r="I351" s="198">
        <v>0</v>
      </c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>
        <v>0</v>
      </c>
      <c r="H352" s="198">
        <v>0</v>
      </c>
      <c r="I352" s="198">
        <v>0</v>
      </c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>
        <v>0</v>
      </c>
      <c r="H353" s="198">
        <v>0</v>
      </c>
      <c r="I353" s="198">
        <v>0</v>
      </c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>
        <v>0</v>
      </c>
      <c r="H354" s="198">
        <v>0</v>
      </c>
      <c r="I354" s="198">
        <v>0</v>
      </c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>
        <v>0</v>
      </c>
      <c r="H355" s="198">
        <v>0</v>
      </c>
      <c r="I355" s="198">
        <v>0</v>
      </c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>
        <v>0</v>
      </c>
      <c r="H356" s="198">
        <v>0</v>
      </c>
      <c r="I356" s="198">
        <v>0</v>
      </c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>
        <v>0</v>
      </c>
      <c r="H357" s="198">
        <v>0</v>
      </c>
      <c r="I357" s="198">
        <v>0</v>
      </c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>
        <v>0</v>
      </c>
      <c r="H358" s="198">
        <v>0</v>
      </c>
      <c r="I358" s="198">
        <v>0</v>
      </c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>
        <v>0</v>
      </c>
      <c r="H359" s="198">
        <v>0</v>
      </c>
      <c r="I359" s="198">
        <v>0</v>
      </c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>
        <v>0</v>
      </c>
      <c r="H360" s="198">
        <v>0</v>
      </c>
      <c r="I360" s="198">
        <v>0</v>
      </c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>
        <v>0</v>
      </c>
      <c r="H361" s="198">
        <v>0</v>
      </c>
      <c r="I361" s="198">
        <v>0</v>
      </c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>
        <v>0</v>
      </c>
      <c r="H362" s="198">
        <v>0</v>
      </c>
      <c r="I362" s="198">
        <v>0</v>
      </c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>
        <v>0</v>
      </c>
      <c r="H363" s="198">
        <v>0</v>
      </c>
      <c r="I363" s="198">
        <v>0</v>
      </c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>
        <v>0</v>
      </c>
      <c r="H364" s="198">
        <v>0</v>
      </c>
      <c r="I364" s="198">
        <v>0</v>
      </c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>
        <v>0</v>
      </c>
      <c r="H365" s="198">
        <v>0</v>
      </c>
      <c r="I365" s="198">
        <v>0</v>
      </c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>
        <v>0</v>
      </c>
      <c r="H366" s="198">
        <v>0</v>
      </c>
      <c r="I366" s="198">
        <v>0</v>
      </c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>
        <v>0</v>
      </c>
      <c r="H367" s="198">
        <v>0</v>
      </c>
      <c r="I367" s="198">
        <v>0</v>
      </c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>
        <v>0</v>
      </c>
      <c r="H368" s="198">
        <v>0</v>
      </c>
      <c r="I368" s="198">
        <v>0</v>
      </c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>
        <v>0</v>
      </c>
      <c r="H369" s="198">
        <v>0</v>
      </c>
      <c r="I369" s="198">
        <v>0</v>
      </c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>
        <v>0</v>
      </c>
      <c r="H370" s="198">
        <v>0</v>
      </c>
      <c r="I370" s="198">
        <v>0</v>
      </c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>
        <v>0</v>
      </c>
      <c r="H371" s="198">
        <v>0</v>
      </c>
      <c r="I371" s="198">
        <v>0</v>
      </c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>
        <v>0</v>
      </c>
      <c r="H372" s="198">
        <v>0</v>
      </c>
      <c r="I372" s="198">
        <v>0</v>
      </c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>
        <v>0</v>
      </c>
      <c r="H373" s="198">
        <v>0</v>
      </c>
      <c r="I373" s="198">
        <v>0</v>
      </c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>
        <v>0</v>
      </c>
      <c r="H374" s="198">
        <v>0</v>
      </c>
      <c r="I374" s="198">
        <v>0</v>
      </c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>
        <v>0</v>
      </c>
      <c r="H375" s="198">
        <v>0</v>
      </c>
      <c r="I375" s="198">
        <v>0</v>
      </c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>
        <v>0</v>
      </c>
      <c r="H376" s="198">
        <v>0</v>
      </c>
      <c r="I376" s="198">
        <v>0</v>
      </c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>
        <v>0</v>
      </c>
      <c r="H377" s="198">
        <v>0</v>
      </c>
      <c r="I377" s="198">
        <v>0</v>
      </c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>
        <v>0</v>
      </c>
      <c r="H378" s="198">
        <v>0</v>
      </c>
      <c r="I378" s="198">
        <v>0</v>
      </c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>
        <v>0</v>
      </c>
      <c r="H379" s="198">
        <v>0</v>
      </c>
      <c r="I379" s="198">
        <v>0</v>
      </c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>
        <v>0</v>
      </c>
      <c r="H380" s="198">
        <v>0</v>
      </c>
      <c r="I380" s="198">
        <v>0</v>
      </c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>
        <v>0</v>
      </c>
      <c r="H381" s="198">
        <v>0</v>
      </c>
      <c r="I381" s="198">
        <v>0</v>
      </c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>
        <v>0</v>
      </c>
      <c r="H382" s="198">
        <v>0</v>
      </c>
      <c r="I382" s="198">
        <v>0</v>
      </c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>
        <v>0</v>
      </c>
      <c r="H383" s="198">
        <v>0</v>
      </c>
      <c r="I383" s="198">
        <v>0</v>
      </c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>
        <v>0</v>
      </c>
      <c r="H384" s="198">
        <v>0</v>
      </c>
      <c r="I384" s="198">
        <v>0</v>
      </c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>
        <v>0</v>
      </c>
      <c r="H385" s="198">
        <v>0</v>
      </c>
      <c r="I385" s="198">
        <v>0</v>
      </c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>
        <v>0</v>
      </c>
      <c r="H386" s="198">
        <v>0</v>
      </c>
      <c r="I386" s="198">
        <v>0</v>
      </c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>
        <v>0</v>
      </c>
      <c r="H387" s="198">
        <v>0</v>
      </c>
      <c r="I387" s="198">
        <v>0</v>
      </c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>
        <v>0</v>
      </c>
      <c r="H388" s="198">
        <v>0</v>
      </c>
      <c r="I388" s="198">
        <v>0</v>
      </c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>
        <v>0</v>
      </c>
      <c r="H389" s="198">
        <v>0</v>
      </c>
      <c r="I389" s="198">
        <v>0</v>
      </c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>
        <v>0</v>
      </c>
      <c r="H390" s="198">
        <v>0</v>
      </c>
      <c r="I390" s="198">
        <v>0</v>
      </c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>
        <v>0</v>
      </c>
      <c r="H391" s="198">
        <v>0</v>
      </c>
      <c r="I391" s="198">
        <v>0</v>
      </c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>
        <v>0</v>
      </c>
      <c r="H392" s="198">
        <v>0</v>
      </c>
      <c r="I392" s="198">
        <v>0</v>
      </c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>
        <v>0</v>
      </c>
      <c r="H393" s="198">
        <v>0</v>
      </c>
      <c r="I393" s="198">
        <v>0</v>
      </c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>
        <v>0</v>
      </c>
      <c r="H394" s="198">
        <v>0</v>
      </c>
      <c r="I394" s="198">
        <v>0</v>
      </c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>
        <v>0</v>
      </c>
      <c r="H395" s="198">
        <v>0</v>
      </c>
      <c r="I395" s="198">
        <v>0</v>
      </c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>
        <v>0</v>
      </c>
      <c r="H396" s="198">
        <v>0</v>
      </c>
      <c r="I396" s="198">
        <v>0</v>
      </c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>
        <v>0</v>
      </c>
      <c r="H397" s="198">
        <v>0</v>
      </c>
      <c r="I397" s="198">
        <v>0</v>
      </c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>
        <v>0</v>
      </c>
      <c r="H398" s="198">
        <v>0</v>
      </c>
      <c r="I398" s="198">
        <v>0</v>
      </c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>
        <v>0</v>
      </c>
      <c r="H399" s="198">
        <v>0</v>
      </c>
      <c r="I399" s="198">
        <v>0</v>
      </c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>
        <v>0</v>
      </c>
      <c r="H400" s="198">
        <v>0</v>
      </c>
      <c r="I400" s="198">
        <v>0</v>
      </c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>
        <v>0</v>
      </c>
      <c r="H401" s="198">
        <v>0</v>
      </c>
      <c r="I401" s="198">
        <v>0</v>
      </c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>
        <v>0</v>
      </c>
      <c r="H402" s="198">
        <v>0</v>
      </c>
      <c r="I402" s="198">
        <v>0</v>
      </c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>
        <v>0</v>
      </c>
      <c r="H403" s="198">
        <v>0</v>
      </c>
      <c r="I403" s="198">
        <v>0</v>
      </c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>
        <v>0</v>
      </c>
      <c r="H404" s="198">
        <v>0</v>
      </c>
      <c r="I404" s="198">
        <v>0</v>
      </c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>
        <v>0</v>
      </c>
      <c r="H405" s="198">
        <v>0</v>
      </c>
      <c r="I405" s="198">
        <v>0</v>
      </c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>
        <v>0</v>
      </c>
      <c r="H406" s="198">
        <v>0</v>
      </c>
      <c r="I406" s="198">
        <v>0</v>
      </c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>
        <v>0</v>
      </c>
      <c r="H407" s="198">
        <v>0</v>
      </c>
      <c r="I407" s="198">
        <v>0</v>
      </c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>
        <v>0</v>
      </c>
      <c r="H408" s="198">
        <v>0</v>
      </c>
      <c r="I408" s="198">
        <v>0</v>
      </c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>
        <v>0</v>
      </c>
      <c r="H409" s="198">
        <v>0</v>
      </c>
      <c r="I409" s="198">
        <v>0</v>
      </c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>
        <v>0</v>
      </c>
      <c r="H410" s="198">
        <v>0</v>
      </c>
      <c r="I410" s="198">
        <v>0</v>
      </c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>
        <v>0</v>
      </c>
      <c r="H411" s="198">
        <v>0</v>
      </c>
      <c r="I411" s="198">
        <v>0</v>
      </c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>
        <v>0</v>
      </c>
      <c r="H412" s="198">
        <v>0</v>
      </c>
      <c r="I412" s="198">
        <v>0</v>
      </c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>
        <v>0</v>
      </c>
      <c r="H413" s="198">
        <v>0</v>
      </c>
      <c r="I413" s="198">
        <v>0</v>
      </c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>
        <v>0</v>
      </c>
      <c r="H414" s="198">
        <v>0</v>
      </c>
      <c r="I414" s="198">
        <v>0</v>
      </c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>
        <v>0</v>
      </c>
      <c r="H415" s="198">
        <v>0</v>
      </c>
      <c r="I415" s="198">
        <v>0</v>
      </c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>
        <v>0</v>
      </c>
      <c r="H416" s="198">
        <v>0</v>
      </c>
      <c r="I416" s="198">
        <v>0</v>
      </c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>
        <v>0</v>
      </c>
      <c r="H417" s="198">
        <v>0</v>
      </c>
      <c r="I417" s="198">
        <v>0</v>
      </c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>
        <v>0</v>
      </c>
      <c r="H418" s="198">
        <v>0</v>
      </c>
      <c r="I418" s="198">
        <v>0</v>
      </c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>
        <v>0</v>
      </c>
      <c r="H419" s="198">
        <v>0</v>
      </c>
      <c r="I419" s="198">
        <v>0</v>
      </c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>
        <v>0</v>
      </c>
      <c r="H420" s="198">
        <v>0</v>
      </c>
      <c r="I420" s="198">
        <v>0</v>
      </c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>
        <v>0</v>
      </c>
      <c r="H421" s="198">
        <v>0</v>
      </c>
      <c r="I421" s="198">
        <v>0</v>
      </c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>
        <v>0</v>
      </c>
      <c r="H422" s="198">
        <v>0</v>
      </c>
      <c r="I422" s="198">
        <v>0</v>
      </c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>
        <v>0</v>
      </c>
      <c r="H423" s="198">
        <v>0</v>
      </c>
      <c r="I423" s="198">
        <v>0</v>
      </c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>
        <v>0</v>
      </c>
      <c r="H424" s="198">
        <v>0</v>
      </c>
      <c r="I424" s="198">
        <v>0</v>
      </c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>
        <v>0</v>
      </c>
      <c r="H425" s="198">
        <v>0</v>
      </c>
      <c r="I425" s="198">
        <v>0</v>
      </c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>
        <v>0</v>
      </c>
      <c r="H426" s="198">
        <v>0</v>
      </c>
      <c r="I426" s="198">
        <v>0</v>
      </c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>
        <v>0</v>
      </c>
      <c r="H427" s="198">
        <v>0</v>
      </c>
      <c r="I427" s="198">
        <v>0</v>
      </c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>
        <v>0</v>
      </c>
      <c r="H428" s="198">
        <v>0</v>
      </c>
      <c r="I428" s="198">
        <v>0</v>
      </c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>
        <v>0</v>
      </c>
      <c r="H429" s="198">
        <v>0</v>
      </c>
      <c r="I429" s="198">
        <v>0</v>
      </c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>
        <v>0</v>
      </c>
      <c r="H430" s="198">
        <v>0</v>
      </c>
      <c r="I430" s="198">
        <v>0</v>
      </c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>
        <v>0</v>
      </c>
      <c r="H431" s="198">
        <v>0</v>
      </c>
      <c r="I431" s="198">
        <v>0</v>
      </c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>
        <v>0</v>
      </c>
      <c r="H432" s="198">
        <v>0</v>
      </c>
      <c r="I432" s="198">
        <v>0</v>
      </c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>
        <v>0</v>
      </c>
      <c r="H433" s="198">
        <v>0</v>
      </c>
      <c r="I433" s="198">
        <v>0</v>
      </c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>
        <v>0</v>
      </c>
      <c r="H434" s="198">
        <v>0</v>
      </c>
      <c r="I434" s="198">
        <v>0</v>
      </c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>
        <v>0</v>
      </c>
      <c r="H435" s="198">
        <v>0</v>
      </c>
      <c r="I435" s="198">
        <v>0</v>
      </c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>
        <v>0</v>
      </c>
      <c r="H436" s="198">
        <v>0</v>
      </c>
      <c r="I436" s="198">
        <v>0</v>
      </c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>
        <v>0</v>
      </c>
      <c r="H437" s="198">
        <v>0</v>
      </c>
      <c r="I437" s="198">
        <v>0</v>
      </c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>
        <v>0</v>
      </c>
      <c r="H438" s="198">
        <v>0</v>
      </c>
      <c r="I438" s="198">
        <v>0</v>
      </c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>
        <v>0</v>
      </c>
      <c r="H439" s="198">
        <v>0</v>
      </c>
      <c r="I439" s="198">
        <v>0</v>
      </c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>
        <v>0</v>
      </c>
      <c r="H440" s="198">
        <v>0</v>
      </c>
      <c r="I440" s="198">
        <v>0</v>
      </c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>
        <v>0</v>
      </c>
      <c r="H441" s="198">
        <v>0</v>
      </c>
      <c r="I441" s="198">
        <v>0</v>
      </c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>
        <v>0</v>
      </c>
      <c r="H442" s="198">
        <v>0</v>
      </c>
      <c r="I442" s="198">
        <v>0</v>
      </c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>
        <v>0</v>
      </c>
      <c r="H443" s="198">
        <v>0</v>
      </c>
      <c r="I443" s="198">
        <v>0</v>
      </c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>
        <v>0</v>
      </c>
      <c r="H444" s="198">
        <v>0</v>
      </c>
      <c r="I444" s="198">
        <v>0</v>
      </c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>
        <v>0</v>
      </c>
      <c r="H445" s="198">
        <v>0</v>
      </c>
      <c r="I445" s="198">
        <v>0</v>
      </c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>
        <v>0</v>
      </c>
      <c r="H446" s="198">
        <v>0</v>
      </c>
      <c r="I446" s="198">
        <v>0</v>
      </c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>
        <v>0</v>
      </c>
      <c r="H447" s="198">
        <v>0</v>
      </c>
      <c r="I447" s="198">
        <v>0</v>
      </c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>
        <v>0</v>
      </c>
      <c r="H448" s="198">
        <v>0</v>
      </c>
      <c r="I448" s="198">
        <v>0</v>
      </c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>
        <v>0</v>
      </c>
      <c r="H449" s="198">
        <v>0</v>
      </c>
      <c r="I449" s="198">
        <v>0</v>
      </c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>
        <v>0</v>
      </c>
      <c r="H450" s="198">
        <v>0</v>
      </c>
      <c r="I450" s="198">
        <v>0</v>
      </c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>
        <v>0</v>
      </c>
      <c r="H451" s="198">
        <v>0</v>
      </c>
      <c r="I451" s="198">
        <v>0</v>
      </c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>
        <v>0</v>
      </c>
      <c r="H452" s="198">
        <v>0</v>
      </c>
      <c r="I452" s="198">
        <v>0</v>
      </c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>
        <v>0</v>
      </c>
      <c r="H453" s="198">
        <v>0</v>
      </c>
      <c r="I453" s="198">
        <v>0</v>
      </c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>
        <v>0</v>
      </c>
      <c r="H454" s="198">
        <v>0</v>
      </c>
      <c r="I454" s="198">
        <v>0</v>
      </c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>
        <v>0</v>
      </c>
      <c r="H455" s="198">
        <v>0</v>
      </c>
      <c r="I455" s="198">
        <v>0</v>
      </c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>
        <v>0</v>
      </c>
      <c r="H456" s="198">
        <v>0</v>
      </c>
      <c r="I456" s="198">
        <v>0</v>
      </c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>
        <v>0</v>
      </c>
      <c r="H457" s="198">
        <v>0</v>
      </c>
      <c r="I457" s="198">
        <v>0</v>
      </c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>
        <v>0</v>
      </c>
      <c r="H458" s="198">
        <v>0</v>
      </c>
      <c r="I458" s="198">
        <v>0</v>
      </c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>
        <v>0</v>
      </c>
      <c r="H459" s="198">
        <v>0</v>
      </c>
      <c r="I459" s="198">
        <v>0</v>
      </c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>
        <v>0</v>
      </c>
      <c r="H460" s="198">
        <v>0</v>
      </c>
      <c r="I460" s="198">
        <v>0</v>
      </c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>
        <v>0</v>
      </c>
      <c r="H461" s="198">
        <v>0</v>
      </c>
      <c r="I461" s="198">
        <v>0</v>
      </c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>
        <v>0</v>
      </c>
      <c r="H462" s="198">
        <v>0</v>
      </c>
      <c r="I462" s="198">
        <v>0</v>
      </c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>
        <v>0</v>
      </c>
      <c r="H463" s="198">
        <v>0</v>
      </c>
      <c r="I463" s="198">
        <v>0</v>
      </c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>
        <v>0</v>
      </c>
      <c r="H464" s="198">
        <v>0</v>
      </c>
      <c r="I464" s="198">
        <v>0</v>
      </c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>
        <v>0</v>
      </c>
      <c r="H465" s="198">
        <v>0</v>
      </c>
      <c r="I465" s="198">
        <v>0</v>
      </c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>
        <v>0</v>
      </c>
      <c r="H466" s="198">
        <v>0</v>
      </c>
      <c r="I466" s="198">
        <v>0</v>
      </c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>
        <v>0</v>
      </c>
      <c r="H467" s="198">
        <v>0</v>
      </c>
      <c r="I467" s="198">
        <v>0</v>
      </c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>
        <v>0</v>
      </c>
      <c r="H468" s="198">
        <v>0</v>
      </c>
      <c r="I468" s="198">
        <v>0</v>
      </c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>
        <v>0</v>
      </c>
      <c r="H469" s="198">
        <v>0</v>
      </c>
      <c r="I469" s="198">
        <v>0</v>
      </c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>
        <v>0</v>
      </c>
      <c r="H470" s="198">
        <v>0</v>
      </c>
      <c r="I470" s="198">
        <v>0</v>
      </c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>
        <v>0</v>
      </c>
      <c r="H471" s="198">
        <v>0</v>
      </c>
      <c r="I471" s="198">
        <v>0</v>
      </c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>
        <v>0</v>
      </c>
      <c r="H472" s="198">
        <v>0</v>
      </c>
      <c r="I472" s="198">
        <v>0</v>
      </c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>
        <v>0</v>
      </c>
      <c r="H473" s="198">
        <v>0</v>
      </c>
      <c r="I473" s="198">
        <v>0</v>
      </c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>
        <v>0</v>
      </c>
      <c r="H474" s="198">
        <v>0</v>
      </c>
      <c r="I474" s="198">
        <v>0</v>
      </c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>
        <v>0</v>
      </c>
      <c r="H475" s="198">
        <v>0</v>
      </c>
      <c r="I475" s="198">
        <v>0</v>
      </c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>
        <v>0</v>
      </c>
      <c r="H476" s="198">
        <v>0</v>
      </c>
      <c r="I476" s="198">
        <v>0</v>
      </c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>
        <v>0</v>
      </c>
      <c r="H477" s="198">
        <v>0</v>
      </c>
      <c r="I477" s="198">
        <v>0</v>
      </c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>
        <v>0</v>
      </c>
      <c r="H478" s="198">
        <v>0</v>
      </c>
      <c r="I478" s="198">
        <v>0</v>
      </c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>
        <v>0</v>
      </c>
      <c r="H479" s="198">
        <v>0</v>
      </c>
      <c r="I479" s="198">
        <v>0</v>
      </c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>
        <v>0</v>
      </c>
      <c r="H480" s="198">
        <v>0</v>
      </c>
      <c r="I480" s="198">
        <v>0</v>
      </c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>
        <v>0</v>
      </c>
      <c r="H481" s="198">
        <v>0</v>
      </c>
      <c r="I481" s="198">
        <v>0</v>
      </c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>
        <v>0</v>
      </c>
      <c r="H482" s="198">
        <v>0</v>
      </c>
      <c r="I482" s="198">
        <v>0</v>
      </c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>
        <v>0</v>
      </c>
      <c r="H483" s="198">
        <v>0</v>
      </c>
      <c r="I483" s="198">
        <v>0</v>
      </c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>
        <v>0</v>
      </c>
      <c r="H484" s="198">
        <v>0</v>
      </c>
      <c r="I484" s="198">
        <v>0</v>
      </c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>
        <v>0</v>
      </c>
      <c r="H485" s="198">
        <v>0</v>
      </c>
      <c r="I485" s="198">
        <v>0</v>
      </c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>
        <v>0</v>
      </c>
      <c r="H486" s="198">
        <v>0</v>
      </c>
      <c r="I486" s="198">
        <v>0</v>
      </c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>
        <v>0</v>
      </c>
      <c r="H487" s="198">
        <v>0</v>
      </c>
      <c r="I487" s="198">
        <v>0</v>
      </c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>
        <v>0</v>
      </c>
      <c r="H488" s="198">
        <v>0</v>
      </c>
      <c r="I488" s="198">
        <v>0</v>
      </c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>
        <v>0</v>
      </c>
      <c r="H489" s="198">
        <v>0</v>
      </c>
      <c r="I489" s="198">
        <v>0</v>
      </c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>
        <v>0</v>
      </c>
      <c r="H490" s="198">
        <v>0</v>
      </c>
      <c r="I490" s="198">
        <v>0</v>
      </c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>
        <v>0</v>
      </c>
      <c r="H491" s="198">
        <v>0</v>
      </c>
      <c r="I491" s="198">
        <v>0</v>
      </c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>
        <v>0</v>
      </c>
      <c r="H492" s="198">
        <v>0</v>
      </c>
      <c r="I492" s="198">
        <v>0</v>
      </c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>
        <v>0</v>
      </c>
      <c r="H493" s="198">
        <v>0</v>
      </c>
      <c r="I493" s="198">
        <v>0</v>
      </c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>
        <v>0</v>
      </c>
      <c r="H494" s="198">
        <v>0</v>
      </c>
      <c r="I494" s="198">
        <v>0</v>
      </c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>
        <v>0</v>
      </c>
      <c r="H495" s="198">
        <v>0</v>
      </c>
      <c r="I495" s="198">
        <v>0</v>
      </c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>
        <v>0</v>
      </c>
      <c r="H496" s="198">
        <v>0</v>
      </c>
      <c r="I496" s="198">
        <v>0</v>
      </c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>
        <v>0</v>
      </c>
      <c r="H497" s="198">
        <v>0</v>
      </c>
      <c r="I497" s="198">
        <v>0</v>
      </c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>
        <v>0</v>
      </c>
      <c r="H498" s="198">
        <v>0</v>
      </c>
      <c r="I498" s="198">
        <v>0</v>
      </c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>
        <v>0</v>
      </c>
      <c r="H499" s="198">
        <v>0</v>
      </c>
      <c r="I499" s="198">
        <v>0</v>
      </c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>
        <v>0</v>
      </c>
      <c r="H500" s="198">
        <v>0</v>
      </c>
      <c r="I500" s="198">
        <v>0</v>
      </c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>
        <v>0</v>
      </c>
      <c r="H501" s="198">
        <v>0</v>
      </c>
      <c r="I501" s="198">
        <v>0</v>
      </c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81"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1281</v>
      </c>
      <c r="B1" s="233" t="s">
        <v>656</v>
      </c>
    </row>
    <row r="2" spans="1:2" s="240" customFormat="1" hidden="1">
      <c r="A2" s="238" t="s">
        <v>1317</v>
      </c>
      <c r="B2" s="239" t="s">
        <v>1318</v>
      </c>
    </row>
    <row r="3" spans="1:2" hidden="1">
      <c r="A3" s="230" t="s">
        <v>1313</v>
      </c>
      <c r="B3" s="231" t="s">
        <v>1314</v>
      </c>
    </row>
    <row r="4" spans="1:2" hidden="1">
      <c r="A4" s="234" t="s">
        <v>1315</v>
      </c>
      <c r="B4" s="235" t="s">
        <v>1316</v>
      </c>
    </row>
    <row r="5" spans="1:2" hidden="1">
      <c r="A5" s="236" t="s">
        <v>1319</v>
      </c>
      <c r="B5" s="237" t="s">
        <v>1320</v>
      </c>
    </row>
    <row r="6" spans="1:2" hidden="1">
      <c r="A6" s="236" t="s">
        <v>1321</v>
      </c>
      <c r="B6" s="237" t="s">
        <v>1322</v>
      </c>
    </row>
    <row r="7" spans="1:2" hidden="1">
      <c r="A7" s="236" t="s">
        <v>1323</v>
      </c>
      <c r="B7" s="237" t="s">
        <v>1324</v>
      </c>
    </row>
    <row r="8" spans="1:2" hidden="1">
      <c r="A8" s="236" t="s">
        <v>1325</v>
      </c>
      <c r="B8" s="237" t="s">
        <v>1326</v>
      </c>
    </row>
    <row r="9" spans="1:2" hidden="1">
      <c r="A9" s="236" t="s">
        <v>1327</v>
      </c>
      <c r="B9" s="237" t="s">
        <v>1328</v>
      </c>
    </row>
    <row r="10" spans="1:2" hidden="1">
      <c r="A10" s="236" t="s">
        <v>1329</v>
      </c>
      <c r="B10" s="237" t="s">
        <v>1330</v>
      </c>
    </row>
    <row r="11" spans="1:2" hidden="1">
      <c r="A11" s="236" t="s">
        <v>1331</v>
      </c>
      <c r="B11" s="237" t="s">
        <v>899</v>
      </c>
    </row>
    <row r="12" spans="1:2" hidden="1">
      <c r="A12" s="236" t="s">
        <v>1332</v>
      </c>
      <c r="B12" s="237" t="s">
        <v>897</v>
      </c>
    </row>
    <row r="13" spans="1:2" hidden="1">
      <c r="A13" s="236" t="s">
        <v>1333</v>
      </c>
      <c r="B13" s="237" t="s">
        <v>1334</v>
      </c>
    </row>
    <row r="14" spans="1:2" hidden="1">
      <c r="A14" s="234" t="s">
        <v>1335</v>
      </c>
      <c r="B14" s="235" t="s">
        <v>1336</v>
      </c>
    </row>
    <row r="15" spans="1:2" hidden="1">
      <c r="A15" s="236" t="s">
        <v>1337</v>
      </c>
      <c r="B15" s="237" t="s">
        <v>1338</v>
      </c>
    </row>
    <row r="16" spans="1:2" hidden="1">
      <c r="A16" s="234" t="s">
        <v>1305</v>
      </c>
      <c r="B16" s="235" t="s">
        <v>1306</v>
      </c>
    </row>
    <row r="17" spans="1:2" hidden="1">
      <c r="A17" s="236" t="s">
        <v>1339</v>
      </c>
      <c r="B17" s="237" t="s">
        <v>1340</v>
      </c>
    </row>
    <row r="18" spans="1:2" hidden="1">
      <c r="A18" s="236" t="s">
        <v>1341</v>
      </c>
      <c r="B18" s="237" t="s">
        <v>1342</v>
      </c>
    </row>
    <row r="19" spans="1:2" hidden="1">
      <c r="A19" s="236" t="s">
        <v>1343</v>
      </c>
      <c r="B19" s="237" t="s">
        <v>1344</v>
      </c>
    </row>
    <row r="20" spans="1:2" hidden="1">
      <c r="A20" s="236" t="s">
        <v>1345</v>
      </c>
      <c r="B20" s="237" t="s">
        <v>1346</v>
      </c>
    </row>
    <row r="21" spans="1:2" hidden="1">
      <c r="A21" s="236" t="s">
        <v>1347</v>
      </c>
      <c r="B21" s="237" t="s">
        <v>1348</v>
      </c>
    </row>
    <row r="22" spans="1:2" hidden="1">
      <c r="A22" s="236" t="s">
        <v>1349</v>
      </c>
      <c r="B22" s="237" t="s">
        <v>895</v>
      </c>
    </row>
    <row r="23" spans="1:2" hidden="1">
      <c r="A23" s="234" t="s">
        <v>1350</v>
      </c>
      <c r="B23" s="235" t="s">
        <v>1351</v>
      </c>
    </row>
    <row r="24" spans="1:2" hidden="1">
      <c r="A24" s="236" t="s">
        <v>1352</v>
      </c>
      <c r="B24" s="237" t="s">
        <v>1353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865</v>
      </c>
      <c r="B31" s="237" t="s">
        <v>866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869</v>
      </c>
      <c r="B36" s="237" t="s">
        <v>870</v>
      </c>
    </row>
    <row r="37" spans="1:2">
      <c r="A37" s="236" t="s">
        <v>1282</v>
      </c>
      <c r="B37" s="237" t="s">
        <v>1283</v>
      </c>
    </row>
    <row r="38" spans="1:2">
      <c r="A38" s="236" t="s">
        <v>1284</v>
      </c>
      <c r="B38" s="237" t="s">
        <v>1285</v>
      </c>
    </row>
    <row r="39" spans="1:2">
      <c r="A39" s="236" t="s">
        <v>863</v>
      </c>
      <c r="B39" s="237" t="s">
        <v>864</v>
      </c>
    </row>
    <row r="40" spans="1:2">
      <c r="A40" s="236" t="s">
        <v>111</v>
      </c>
      <c r="B40" s="237" t="s">
        <v>1286</v>
      </c>
    </row>
    <row r="41" spans="1:2">
      <c r="A41" s="236" t="s">
        <v>136</v>
      </c>
      <c r="B41" s="237" t="s">
        <v>1287</v>
      </c>
    </row>
    <row r="42" spans="1:2">
      <c r="A42" s="236" t="s">
        <v>142</v>
      </c>
      <c r="B42" s="237" t="s">
        <v>1288</v>
      </c>
    </row>
    <row r="43" spans="1:2">
      <c r="A43" s="236" t="s">
        <v>144</v>
      </c>
      <c r="B43" s="237" t="s">
        <v>1289</v>
      </c>
    </row>
    <row r="44" spans="1:2">
      <c r="A44" s="236" t="s">
        <v>150</v>
      </c>
      <c r="B44" s="237" t="s">
        <v>1290</v>
      </c>
    </row>
    <row r="45" spans="1:2">
      <c r="A45" s="236" t="s">
        <v>152</v>
      </c>
      <c r="B45" s="237" t="s">
        <v>1291</v>
      </c>
    </row>
    <row r="46" spans="1:2">
      <c r="A46" s="236" t="s">
        <v>154</v>
      </c>
      <c r="B46" s="237" t="s">
        <v>1292</v>
      </c>
    </row>
    <row r="47" spans="1:2">
      <c r="A47" s="236" t="s">
        <v>158</v>
      </c>
      <c r="B47" s="237" t="s">
        <v>1293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1294</v>
      </c>
    </row>
    <row r="50" spans="1:2">
      <c r="A50" s="236" t="s">
        <v>165</v>
      </c>
      <c r="B50" s="237" t="s">
        <v>1295</v>
      </c>
    </row>
    <row r="51" spans="1:2">
      <c r="A51" s="236" t="s">
        <v>194</v>
      </c>
      <c r="B51" s="237" t="s">
        <v>1296</v>
      </c>
    </row>
    <row r="52" spans="1:2">
      <c r="A52" s="236" t="s">
        <v>197</v>
      </c>
      <c r="B52" s="237" t="s">
        <v>1297</v>
      </c>
    </row>
    <row r="53" spans="1:2">
      <c r="A53" s="236" t="s">
        <v>200</v>
      </c>
      <c r="B53" s="237" t="s">
        <v>1298</v>
      </c>
    </row>
    <row r="54" spans="1:2">
      <c r="A54" s="236" t="s">
        <v>204</v>
      </c>
      <c r="B54" s="237" t="s">
        <v>1299</v>
      </c>
    </row>
    <row r="55" spans="1:2">
      <c r="A55" s="236" t="s">
        <v>205</v>
      </c>
      <c r="B55" s="237" t="s">
        <v>1300</v>
      </c>
    </row>
    <row r="56" spans="1:2">
      <c r="A56" s="236" t="s">
        <v>207</v>
      </c>
      <c r="B56" s="237" t="s">
        <v>1301</v>
      </c>
    </row>
    <row r="57" spans="1:2">
      <c r="A57" s="236" t="s">
        <v>213</v>
      </c>
      <c r="B57" s="237" t="s">
        <v>1302</v>
      </c>
    </row>
    <row r="58" spans="1:2">
      <c r="A58" s="236" t="s">
        <v>214</v>
      </c>
      <c r="B58" s="237" t="s">
        <v>1303</v>
      </c>
    </row>
    <row r="59" spans="1:2">
      <c r="A59" s="236" t="s">
        <v>861</v>
      </c>
      <c r="B59" s="237" t="s">
        <v>862</v>
      </c>
    </row>
    <row r="60" spans="1:2">
      <c r="A60" s="236" t="s">
        <v>1304</v>
      </c>
      <c r="B60" s="237" t="s">
        <v>510</v>
      </c>
    </row>
    <row r="61" spans="1:2">
      <c r="A61" s="236" t="s">
        <v>867</v>
      </c>
      <c r="B61" s="237" t="s">
        <v>868</v>
      </c>
    </row>
    <row r="62" spans="1:2">
      <c r="A62" s="236" t="s">
        <v>286</v>
      </c>
      <c r="B62" s="237" t="s">
        <v>895</v>
      </c>
    </row>
    <row r="63" spans="1:2">
      <c r="A63" s="236" t="s">
        <v>896</v>
      </c>
      <c r="B63" s="237" t="s">
        <v>897</v>
      </c>
    </row>
    <row r="64" spans="1:2">
      <c r="A64" s="236" t="s">
        <v>898</v>
      </c>
      <c r="B64" s="237" t="s">
        <v>899</v>
      </c>
    </row>
    <row r="65" spans="1:2">
      <c r="A65" s="234" t="s">
        <v>1305</v>
      </c>
      <c r="B65" s="235" t="s">
        <v>1306</v>
      </c>
    </row>
    <row r="66" spans="1:2">
      <c r="A66" s="236" t="s">
        <v>871</v>
      </c>
      <c r="B66" s="237" t="s">
        <v>872</v>
      </c>
    </row>
    <row r="67" spans="1:2">
      <c r="A67" s="230" t="s">
        <v>704</v>
      </c>
      <c r="B67" s="231" t="s">
        <v>1307</v>
      </c>
    </row>
    <row r="68" spans="1:2">
      <c r="A68" s="234" t="s">
        <v>1305</v>
      </c>
      <c r="B68" s="235" t="s">
        <v>1306</v>
      </c>
    </row>
    <row r="69" spans="1:2">
      <c r="A69" s="236" t="s">
        <v>900</v>
      </c>
      <c r="B69" s="237" t="s">
        <v>901</v>
      </c>
    </row>
    <row r="70" spans="1:2">
      <c r="A70" s="236" t="s">
        <v>902</v>
      </c>
      <c r="B70" s="237" t="s">
        <v>903</v>
      </c>
    </row>
    <row r="71" spans="1:2">
      <c r="A71" s="236" t="s">
        <v>1308</v>
      </c>
      <c r="B71" s="237" t="s">
        <v>1309</v>
      </c>
    </row>
    <row r="72" spans="1:2">
      <c r="A72" s="236" t="s">
        <v>904</v>
      </c>
      <c r="B72" s="237" t="s">
        <v>905</v>
      </c>
    </row>
    <row r="73" spans="1:2">
      <c r="A73" s="236" t="s">
        <v>1310</v>
      </c>
      <c r="B73" s="237" t="s">
        <v>1283</v>
      </c>
    </row>
    <row r="74" spans="1:2">
      <c r="A74" s="236" t="s">
        <v>906</v>
      </c>
      <c r="B74" s="237" t="s">
        <v>1311</v>
      </c>
    </row>
    <row r="75" spans="1:2">
      <c r="A75" s="236" t="s">
        <v>908</v>
      </c>
      <c r="B75" s="237" t="s">
        <v>1312</v>
      </c>
    </row>
    <row r="76" spans="1:2">
      <c r="A76" s="236" t="s">
        <v>910</v>
      </c>
      <c r="B76" s="237" t="s">
        <v>911</v>
      </c>
    </row>
    <row r="77" spans="1:2">
      <c r="A77" s="236" t="s">
        <v>912</v>
      </c>
      <c r="B77" s="237" t="s">
        <v>895</v>
      </c>
    </row>
    <row r="78" spans="1:2">
      <c r="A78" s="230" t="s">
        <v>1354</v>
      </c>
      <c r="B78" s="231" t="s">
        <v>1355</v>
      </c>
    </row>
    <row r="79" spans="1:2">
      <c r="A79" s="234" t="s">
        <v>1305</v>
      </c>
      <c r="B79" s="235" t="s">
        <v>1306</v>
      </c>
    </row>
    <row r="80" spans="1:2">
      <c r="A80" s="236" t="s">
        <v>1356</v>
      </c>
      <c r="B80" s="237" t="s">
        <v>1357</v>
      </c>
    </row>
    <row r="81" spans="1:2">
      <c r="A81" s="236" t="s">
        <v>1358</v>
      </c>
      <c r="B81" s="237" t="s">
        <v>1359</v>
      </c>
    </row>
    <row r="82" spans="1:2">
      <c r="A82" s="230" t="s">
        <v>1360</v>
      </c>
      <c r="B82" s="231" t="s">
        <v>1361</v>
      </c>
    </row>
    <row r="83" spans="1:2">
      <c r="A83" s="234" t="s">
        <v>1305</v>
      </c>
      <c r="B83" s="235" t="s">
        <v>1306</v>
      </c>
    </row>
    <row r="84" spans="1:2">
      <c r="A84" s="236" t="s">
        <v>1362</v>
      </c>
      <c r="B84" s="237" t="s">
        <v>1363</v>
      </c>
    </row>
    <row r="85" spans="1:2">
      <c r="A85" s="236" t="s">
        <v>1364</v>
      </c>
      <c r="B85" s="237" t="s">
        <v>1365</v>
      </c>
    </row>
    <row r="86" spans="1:2">
      <c r="A86" s="236" t="s">
        <v>1366</v>
      </c>
      <c r="B86" s="237" t="s">
        <v>1367</v>
      </c>
    </row>
    <row r="87" spans="1:2">
      <c r="A87" s="236" t="s">
        <v>1368</v>
      </c>
      <c r="B87" s="237" t="s">
        <v>1369</v>
      </c>
    </row>
    <row r="88" spans="1:2">
      <c r="A88" s="230" t="s">
        <v>1370</v>
      </c>
      <c r="B88" s="231" t="s">
        <v>1371</v>
      </c>
    </row>
    <row r="89" spans="1:2">
      <c r="A89" s="234" t="s">
        <v>1372</v>
      </c>
      <c r="B89" s="235" t="s">
        <v>1373</v>
      </c>
    </row>
    <row r="90" spans="1:2">
      <c r="A90" s="236" t="s">
        <v>1374</v>
      </c>
      <c r="B90" s="237" t="s">
        <v>1375</v>
      </c>
    </row>
    <row r="91" spans="1:2">
      <c r="A91" s="236" t="s">
        <v>1376</v>
      </c>
      <c r="B91" s="237" t="s">
        <v>1377</v>
      </c>
    </row>
    <row r="92" spans="1:2">
      <c r="A92" s="236" t="s">
        <v>1378</v>
      </c>
      <c r="B92" s="237" t="s">
        <v>1379</v>
      </c>
    </row>
    <row r="93" spans="1:2">
      <c r="A93" s="236" t="s">
        <v>1380</v>
      </c>
      <c r="B93" s="237" t="s">
        <v>1381</v>
      </c>
    </row>
    <row r="94" spans="1:2">
      <c r="A94" s="236" t="s">
        <v>1382</v>
      </c>
      <c r="B94" s="237" t="s">
        <v>1383</v>
      </c>
    </row>
    <row r="95" spans="1:2">
      <c r="A95" s="236" t="s">
        <v>1384</v>
      </c>
      <c r="B95" s="237" t="s">
        <v>1385</v>
      </c>
    </row>
    <row r="96" spans="1:2">
      <c r="A96" s="236" t="s">
        <v>1386</v>
      </c>
      <c r="B96" s="237" t="s">
        <v>1387</v>
      </c>
    </row>
    <row r="97" spans="1:2">
      <c r="A97" s="236" t="s">
        <v>1388</v>
      </c>
      <c r="B97" s="237" t="s">
        <v>1389</v>
      </c>
    </row>
    <row r="98" spans="1:2">
      <c r="A98" s="236" t="s">
        <v>1390</v>
      </c>
      <c r="B98" s="237" t="s">
        <v>1391</v>
      </c>
    </row>
    <row r="99" spans="1:2">
      <c r="A99" s="236" t="s">
        <v>1392</v>
      </c>
      <c r="B99" s="237" t="s">
        <v>1393</v>
      </c>
    </row>
    <row r="100" spans="1:2">
      <c r="A100" s="236" t="s">
        <v>1394</v>
      </c>
      <c r="B100" s="237" t="s">
        <v>1395</v>
      </c>
    </row>
    <row r="101" spans="1:2">
      <c r="A101" s="236" t="s">
        <v>1396</v>
      </c>
      <c r="B101" s="237" t="s">
        <v>1397</v>
      </c>
    </row>
    <row r="102" spans="1:2">
      <c r="A102" s="236" t="s">
        <v>1398</v>
      </c>
      <c r="B102" s="237" t="s">
        <v>1399</v>
      </c>
    </row>
    <row r="103" spans="1:2">
      <c r="A103" s="236" t="s">
        <v>1400</v>
      </c>
      <c r="B103" s="237" t="s">
        <v>1401</v>
      </c>
    </row>
    <row r="104" spans="1:2">
      <c r="A104" s="236" t="s">
        <v>1402</v>
      </c>
      <c r="B104" s="237" t="s">
        <v>1403</v>
      </c>
    </row>
    <row r="105" spans="1:2">
      <c r="A105" s="230" t="s">
        <v>1404</v>
      </c>
      <c r="B105" s="231" t="s">
        <v>1405</v>
      </c>
    </row>
    <row r="106" spans="1:2">
      <c r="A106" s="234" t="s">
        <v>1305</v>
      </c>
      <c r="B106" s="235" t="s">
        <v>1306</v>
      </c>
    </row>
    <row r="107" spans="1:2">
      <c r="A107" s="236" t="s">
        <v>1406</v>
      </c>
      <c r="B107" s="237" t="s">
        <v>1407</v>
      </c>
    </row>
    <row r="108" spans="1:2">
      <c r="A108" s="236" t="s">
        <v>1408</v>
      </c>
      <c r="B108" s="237" t="s">
        <v>1409</v>
      </c>
    </row>
    <row r="109" spans="1:2">
      <c r="A109" s="230" t="s">
        <v>1410</v>
      </c>
      <c r="B109" s="231" t="s">
        <v>1411</v>
      </c>
    </row>
    <row r="110" spans="1:2">
      <c r="A110" s="234" t="s">
        <v>1372</v>
      </c>
      <c r="B110" s="235" t="s">
        <v>1373</v>
      </c>
    </row>
    <row r="111" spans="1:2">
      <c r="A111" s="236" t="s">
        <v>1412</v>
      </c>
      <c r="B111" s="237" t="s">
        <v>1413</v>
      </c>
    </row>
    <row r="112" spans="1:2">
      <c r="A112" s="236" t="s">
        <v>1414</v>
      </c>
      <c r="B112" s="237" t="s">
        <v>1415</v>
      </c>
    </row>
    <row r="113" spans="1:2">
      <c r="A113" s="236" t="s">
        <v>1416</v>
      </c>
      <c r="B113" s="237" t="s">
        <v>1417</v>
      </c>
    </row>
    <row r="114" spans="1:2">
      <c r="A114" s="236" t="s">
        <v>1418</v>
      </c>
      <c r="B114" s="237" t="s">
        <v>1419</v>
      </c>
    </row>
    <row r="115" spans="1:2">
      <c r="A115" s="236" t="s">
        <v>1420</v>
      </c>
      <c r="B115" s="237" t="s">
        <v>1421</v>
      </c>
    </row>
    <row r="116" spans="1:2">
      <c r="A116" s="230" t="s">
        <v>1422</v>
      </c>
      <c r="B116" s="231" t="s">
        <v>1423</v>
      </c>
    </row>
    <row r="117" spans="1:2">
      <c r="A117" s="234" t="s">
        <v>1315</v>
      </c>
      <c r="B117" s="235" t="s">
        <v>1316</v>
      </c>
    </row>
    <row r="118" spans="1:2">
      <c r="A118" s="236" t="s">
        <v>1424</v>
      </c>
      <c r="B118" s="237" t="s">
        <v>1425</v>
      </c>
    </row>
    <row r="119" spans="1:2">
      <c r="A119" s="236" t="s">
        <v>1426</v>
      </c>
      <c r="B119" s="237" t="s">
        <v>1427</v>
      </c>
    </row>
    <row r="120" spans="1:2">
      <c r="A120" s="236" t="s">
        <v>1428</v>
      </c>
      <c r="B120" s="237" t="s">
        <v>1429</v>
      </c>
    </row>
    <row r="121" spans="1:2">
      <c r="A121" s="236" t="s">
        <v>1430</v>
      </c>
      <c r="B121" s="237" t="s">
        <v>1431</v>
      </c>
    </row>
    <row r="122" spans="1:2">
      <c r="A122" s="236" t="s">
        <v>1432</v>
      </c>
      <c r="B122" s="237" t="s">
        <v>1433</v>
      </c>
    </row>
    <row r="123" spans="1:2">
      <c r="A123" s="236" t="s">
        <v>1434</v>
      </c>
      <c r="B123" s="237" t="s">
        <v>1435</v>
      </c>
    </row>
    <row r="124" spans="1:2">
      <c r="A124" s="236" t="s">
        <v>1436</v>
      </c>
      <c r="B124" s="237" t="s">
        <v>1437</v>
      </c>
    </row>
    <row r="125" spans="1:2">
      <c r="A125" s="230" t="s">
        <v>1438</v>
      </c>
      <c r="B125" s="231" t="s">
        <v>1439</v>
      </c>
    </row>
    <row r="126" spans="1:2">
      <c r="A126" s="234" t="s">
        <v>61</v>
      </c>
      <c r="B126" s="235" t="s">
        <v>62</v>
      </c>
    </row>
    <row r="127" spans="1:2">
      <c r="A127" s="236" t="s">
        <v>1440</v>
      </c>
      <c r="B127" s="237" t="s">
        <v>1441</v>
      </c>
    </row>
    <row r="128" spans="1:2">
      <c r="A128" s="236" t="s">
        <v>1442</v>
      </c>
      <c r="B128" s="237" t="s">
        <v>1443</v>
      </c>
    </row>
    <row r="129" spans="1:2">
      <c r="A129" s="236" t="s">
        <v>1444</v>
      </c>
      <c r="B129" s="237" t="s">
        <v>1445</v>
      </c>
    </row>
    <row r="130" spans="1:2">
      <c r="A130" s="236" t="s">
        <v>1446</v>
      </c>
      <c r="B130" s="237" t="s">
        <v>1447</v>
      </c>
    </row>
    <row r="131" spans="1:2">
      <c r="A131" s="236" t="s">
        <v>1448</v>
      </c>
      <c r="B131" s="237" t="s">
        <v>1449</v>
      </c>
    </row>
    <row r="132" spans="1:2">
      <c r="A132" s="236" t="s">
        <v>1450</v>
      </c>
      <c r="B132" s="237" t="s">
        <v>1451</v>
      </c>
    </row>
    <row r="133" spans="1:2">
      <c r="A133" s="236" t="s">
        <v>1452</v>
      </c>
      <c r="B133" s="237" t="s">
        <v>1453</v>
      </c>
    </row>
    <row r="134" spans="1:2">
      <c r="A134" s="236" t="s">
        <v>1454</v>
      </c>
      <c r="B134" s="237" t="s">
        <v>1455</v>
      </c>
    </row>
    <row r="135" spans="1:2">
      <c r="A135" s="236" t="s">
        <v>1456</v>
      </c>
      <c r="B135" s="237" t="s">
        <v>1457</v>
      </c>
    </row>
    <row r="136" spans="1:2">
      <c r="A136" s="236" t="s">
        <v>1458</v>
      </c>
      <c r="B136" s="237" t="s">
        <v>1459</v>
      </c>
    </row>
    <row r="137" spans="1:2">
      <c r="A137" s="236" t="s">
        <v>1460</v>
      </c>
      <c r="B137" s="237" t="s">
        <v>1461</v>
      </c>
    </row>
    <row r="138" spans="1:2">
      <c r="A138" s="236" t="s">
        <v>1462</v>
      </c>
      <c r="B138" s="237" t="s">
        <v>1463</v>
      </c>
    </row>
    <row r="139" spans="1:2">
      <c r="A139" s="236" t="s">
        <v>1464</v>
      </c>
      <c r="B139" s="237" t="s">
        <v>1465</v>
      </c>
    </row>
    <row r="140" spans="1:2">
      <c r="A140" s="236" t="s">
        <v>1466</v>
      </c>
      <c r="B140" s="237" t="s">
        <v>1467</v>
      </c>
    </row>
    <row r="141" spans="1:2">
      <c r="A141" s="236" t="s">
        <v>1468</v>
      </c>
      <c r="B141" s="237" t="s">
        <v>1469</v>
      </c>
    </row>
    <row r="142" spans="1:2">
      <c r="A142" s="236" t="s">
        <v>1470</v>
      </c>
      <c r="B142" s="237" t="s">
        <v>1471</v>
      </c>
    </row>
    <row r="143" spans="1:2">
      <c r="A143" s="236" t="s">
        <v>1472</v>
      </c>
      <c r="B143" s="237" t="s">
        <v>1473</v>
      </c>
    </row>
    <row r="144" spans="1:2">
      <c r="A144" s="236" t="s">
        <v>1474</v>
      </c>
      <c r="B144" s="237" t="s">
        <v>897</v>
      </c>
    </row>
    <row r="145" spans="1:2">
      <c r="A145" s="236" t="s">
        <v>1475</v>
      </c>
      <c r="B145" s="237" t="s">
        <v>1476</v>
      </c>
    </row>
    <row r="146" spans="1:2">
      <c r="A146" s="236" t="s">
        <v>1477</v>
      </c>
      <c r="B146" s="237" t="s">
        <v>1478</v>
      </c>
    </row>
    <row r="147" spans="1:2">
      <c r="A147" s="230" t="s">
        <v>1479</v>
      </c>
      <c r="B147" s="231" t="s">
        <v>1480</v>
      </c>
    </row>
    <row r="148" spans="1:2">
      <c r="A148" s="234" t="s">
        <v>1315</v>
      </c>
      <c r="B148" s="235" t="s">
        <v>1316</v>
      </c>
    </row>
    <row r="149" spans="1:2">
      <c r="A149" s="236" t="s">
        <v>1481</v>
      </c>
      <c r="B149" s="237" t="s">
        <v>1482</v>
      </c>
    </row>
    <row r="150" spans="1:2">
      <c r="A150" s="236" t="s">
        <v>1483</v>
      </c>
      <c r="B150" s="237" t="s">
        <v>1484</v>
      </c>
    </row>
    <row r="151" spans="1:2">
      <c r="A151" s="236" t="s">
        <v>1485</v>
      </c>
      <c r="B151" s="237" t="s">
        <v>1486</v>
      </c>
    </row>
    <row r="152" spans="1:2">
      <c r="A152" s="236" t="s">
        <v>1487</v>
      </c>
      <c r="B152" s="237" t="s">
        <v>1488</v>
      </c>
    </row>
    <row r="153" spans="1:2">
      <c r="A153" s="236" t="s">
        <v>1489</v>
      </c>
      <c r="B153" s="237" t="s">
        <v>1490</v>
      </c>
    </row>
    <row r="154" spans="1:2">
      <c r="A154" s="236" t="s">
        <v>1491</v>
      </c>
      <c r="B154" s="237" t="s">
        <v>1492</v>
      </c>
    </row>
    <row r="155" spans="1:2">
      <c r="A155" s="236" t="s">
        <v>1493</v>
      </c>
      <c r="B155" s="237" t="s">
        <v>1494</v>
      </c>
    </row>
    <row r="156" spans="1:2">
      <c r="A156" s="236" t="s">
        <v>1495</v>
      </c>
      <c r="B156" s="237" t="s">
        <v>1496</v>
      </c>
    </row>
    <row r="157" spans="1:2">
      <c r="A157" s="236" t="s">
        <v>1497</v>
      </c>
      <c r="B157" s="237" t="s">
        <v>1498</v>
      </c>
    </row>
    <row r="158" spans="1:2">
      <c r="A158" s="234" t="s">
        <v>1372</v>
      </c>
      <c r="B158" s="235" t="s">
        <v>1373</v>
      </c>
    </row>
    <row r="159" spans="1:2">
      <c r="A159" s="236" t="s">
        <v>1499</v>
      </c>
      <c r="B159" s="237" t="s">
        <v>1500</v>
      </c>
    </row>
    <row r="160" spans="1:2">
      <c r="A160" s="230" t="s">
        <v>1501</v>
      </c>
      <c r="B160" s="231" t="s">
        <v>1502</v>
      </c>
    </row>
    <row r="161" spans="1:2">
      <c r="A161" s="234" t="s">
        <v>1315</v>
      </c>
      <c r="B161" s="235" t="s">
        <v>1316</v>
      </c>
    </row>
    <row r="162" spans="1:2">
      <c r="A162" s="236" t="s">
        <v>1503</v>
      </c>
      <c r="B162" s="237" t="s">
        <v>1504</v>
      </c>
    </row>
    <row r="163" spans="1:2">
      <c r="A163" s="236" t="s">
        <v>1505</v>
      </c>
      <c r="B163" s="237" t="s">
        <v>1506</v>
      </c>
    </row>
    <row r="164" spans="1:2">
      <c r="A164" s="236" t="s">
        <v>1507</v>
      </c>
      <c r="B164" s="237" t="s">
        <v>1508</v>
      </c>
    </row>
    <row r="165" spans="1:2">
      <c r="A165" s="236" t="s">
        <v>1509</v>
      </c>
      <c r="B165" s="237" t="s">
        <v>1510</v>
      </c>
    </row>
    <row r="166" spans="1:2">
      <c r="A166" s="236" t="s">
        <v>1511</v>
      </c>
      <c r="B166" s="237" t="s">
        <v>1512</v>
      </c>
    </row>
    <row r="167" spans="1:2">
      <c r="A167" s="236" t="s">
        <v>1513</v>
      </c>
      <c r="B167" s="237" t="s">
        <v>1514</v>
      </c>
    </row>
    <row r="168" spans="1:2">
      <c r="A168" s="236" t="s">
        <v>1515</v>
      </c>
      <c r="B168" s="237" t="s">
        <v>1516</v>
      </c>
    </row>
    <row r="169" spans="1:2">
      <c r="A169" s="236" t="s">
        <v>1517</v>
      </c>
      <c r="B169" s="237" t="s">
        <v>1518</v>
      </c>
    </row>
    <row r="170" spans="1:2">
      <c r="A170" s="236" t="s">
        <v>1519</v>
      </c>
      <c r="B170" s="237" t="s">
        <v>1520</v>
      </c>
    </row>
    <row r="171" spans="1:2">
      <c r="A171" s="236" t="s">
        <v>1521</v>
      </c>
      <c r="B171" s="237" t="s">
        <v>1522</v>
      </c>
    </row>
    <row r="172" spans="1:2">
      <c r="A172" s="236" t="s">
        <v>1523</v>
      </c>
      <c r="B172" s="237" t="s">
        <v>1524</v>
      </c>
    </row>
    <row r="173" spans="1:2">
      <c r="A173" s="236" t="s">
        <v>1525</v>
      </c>
      <c r="B173" s="237" t="s">
        <v>1526</v>
      </c>
    </row>
    <row r="174" spans="1:2">
      <c r="A174" s="236" t="s">
        <v>1527</v>
      </c>
      <c r="B174" s="237" t="s">
        <v>1528</v>
      </c>
    </row>
    <row r="175" spans="1:2">
      <c r="A175" s="236" t="s">
        <v>1529</v>
      </c>
      <c r="B175" s="237" t="s">
        <v>1530</v>
      </c>
    </row>
    <row r="176" spans="1:2">
      <c r="A176" s="236" t="s">
        <v>1531</v>
      </c>
      <c r="B176" s="237" t="s">
        <v>1532</v>
      </c>
    </row>
    <row r="177" spans="1:2">
      <c r="A177" s="236" t="s">
        <v>1533</v>
      </c>
      <c r="B177" s="237" t="s">
        <v>1534</v>
      </c>
    </row>
    <row r="178" spans="1:2">
      <c r="A178" s="236" t="s">
        <v>1535</v>
      </c>
      <c r="B178" s="237" t="s">
        <v>1536</v>
      </c>
    </row>
    <row r="179" spans="1:2">
      <c r="A179" s="236" t="s">
        <v>1537</v>
      </c>
      <c r="B179" s="237" t="s">
        <v>1538</v>
      </c>
    </row>
    <row r="180" spans="1:2">
      <c r="A180" s="236" t="s">
        <v>1539</v>
      </c>
      <c r="B180" s="237" t="s">
        <v>1540</v>
      </c>
    </row>
    <row r="181" spans="1:2">
      <c r="A181" s="230" t="s">
        <v>1541</v>
      </c>
      <c r="B181" s="231" t="s">
        <v>1542</v>
      </c>
    </row>
    <row r="182" spans="1:2">
      <c r="A182" s="234" t="s">
        <v>1315</v>
      </c>
      <c r="B182" s="235" t="s">
        <v>1316</v>
      </c>
    </row>
    <row r="183" spans="1:2">
      <c r="A183" s="236" t="s">
        <v>1543</v>
      </c>
      <c r="B183" s="237" t="s">
        <v>1544</v>
      </c>
    </row>
    <row r="184" spans="1:2">
      <c r="A184" s="236" t="s">
        <v>1545</v>
      </c>
      <c r="B184" s="237" t="s">
        <v>1546</v>
      </c>
    </row>
    <row r="185" spans="1:2">
      <c r="A185" s="236" t="s">
        <v>1547</v>
      </c>
      <c r="B185" s="237" t="s">
        <v>1548</v>
      </c>
    </row>
    <row r="186" spans="1:2">
      <c r="A186" s="236" t="s">
        <v>1549</v>
      </c>
      <c r="B186" s="237" t="s">
        <v>1550</v>
      </c>
    </row>
    <row r="187" spans="1:2">
      <c r="A187" s="236" t="s">
        <v>1551</v>
      </c>
      <c r="B187" s="237" t="s">
        <v>1552</v>
      </c>
    </row>
    <row r="188" spans="1:2">
      <c r="A188" s="236" t="s">
        <v>1553</v>
      </c>
      <c r="B188" s="237" t="s">
        <v>1554</v>
      </c>
    </row>
    <row r="189" spans="1:2">
      <c r="A189" s="236" t="s">
        <v>1555</v>
      </c>
      <c r="B189" s="237" t="s">
        <v>1556</v>
      </c>
    </row>
    <row r="190" spans="1:2">
      <c r="A190" s="236" t="s">
        <v>1557</v>
      </c>
      <c r="B190" s="237" t="s">
        <v>1558</v>
      </c>
    </row>
    <row r="191" spans="1:2">
      <c r="A191" s="236" t="s">
        <v>1559</v>
      </c>
      <c r="B191" s="237" t="s">
        <v>1560</v>
      </c>
    </row>
    <row r="192" spans="1:2">
      <c r="A192" s="236" t="s">
        <v>1561</v>
      </c>
      <c r="B192" s="237" t="s">
        <v>1562</v>
      </c>
    </row>
    <row r="193" spans="1:2">
      <c r="A193" s="236" t="s">
        <v>1563</v>
      </c>
      <c r="B193" s="237" t="s">
        <v>1564</v>
      </c>
    </row>
    <row r="194" spans="1:2">
      <c r="A194" s="236" t="s">
        <v>1565</v>
      </c>
      <c r="B194" s="237" t="s">
        <v>1566</v>
      </c>
    </row>
    <row r="195" spans="1:2">
      <c r="A195" s="236" t="s">
        <v>1567</v>
      </c>
      <c r="B195" s="237" t="s">
        <v>1568</v>
      </c>
    </row>
    <row r="196" spans="1:2">
      <c r="A196" s="236" t="s">
        <v>1569</v>
      </c>
      <c r="B196" s="237" t="s">
        <v>1570</v>
      </c>
    </row>
    <row r="197" spans="1:2">
      <c r="A197" s="236" t="s">
        <v>1571</v>
      </c>
      <c r="B197" s="237" t="s">
        <v>897</v>
      </c>
    </row>
    <row r="198" spans="1:2">
      <c r="A198" s="236" t="s">
        <v>1572</v>
      </c>
      <c r="B198" s="237" t="s">
        <v>1573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44"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1574</v>
      </c>
      <c r="B1" s="242"/>
    </row>
    <row r="2" spans="1:2">
      <c r="A2" s="241" t="s">
        <v>1281</v>
      </c>
      <c r="B2" s="242" t="s">
        <v>656</v>
      </c>
    </row>
    <row r="3" spans="1:2">
      <c r="A3" s="243" t="s">
        <v>1313</v>
      </c>
      <c r="B3" s="244" t="s">
        <v>1314</v>
      </c>
    </row>
    <row r="4" spans="1:2">
      <c r="A4" s="245" t="s">
        <v>1315</v>
      </c>
      <c r="B4" s="246" t="s">
        <v>1316</v>
      </c>
    </row>
    <row r="5" spans="1:2">
      <c r="A5" s="245" t="s">
        <v>1331</v>
      </c>
      <c r="B5" s="246" t="s">
        <v>899</v>
      </c>
    </row>
    <row r="6" spans="1:2">
      <c r="A6" s="247" t="s">
        <v>1575</v>
      </c>
      <c r="B6" s="248" t="s">
        <v>1576</v>
      </c>
    </row>
    <row r="7" spans="1:2">
      <c r="A7" s="245" t="s">
        <v>1332</v>
      </c>
      <c r="B7" s="246" t="s">
        <v>897</v>
      </c>
    </row>
    <row r="8" spans="1:2" ht="22.5">
      <c r="A8" s="247" t="s">
        <v>1577</v>
      </c>
      <c r="B8" s="248" t="s">
        <v>1578</v>
      </c>
    </row>
    <row r="9" spans="1:2">
      <c r="A9" s="247" t="s">
        <v>1579</v>
      </c>
      <c r="B9" s="248" t="s">
        <v>1580</v>
      </c>
    </row>
    <row r="10" spans="1:2">
      <c r="A10" s="247" t="s">
        <v>1581</v>
      </c>
      <c r="B10" s="248" t="s">
        <v>1582</v>
      </c>
    </row>
    <row r="11" spans="1:2" ht="22.5">
      <c r="A11" s="247" t="s">
        <v>1583</v>
      </c>
      <c r="B11" s="248" t="s">
        <v>1584</v>
      </c>
    </row>
    <row r="12" spans="1:2">
      <c r="A12" s="247" t="s">
        <v>1585</v>
      </c>
      <c r="B12" s="248" t="s">
        <v>1586</v>
      </c>
    </row>
    <row r="13" spans="1:2">
      <c r="A13" s="247" t="s">
        <v>1587</v>
      </c>
      <c r="B13" s="248" t="s">
        <v>1201</v>
      </c>
    </row>
    <row r="14" spans="1:2">
      <c r="A14" s="247" t="s">
        <v>1588</v>
      </c>
      <c r="B14" s="248" t="s">
        <v>1203</v>
      </c>
    </row>
    <row r="15" spans="1:2">
      <c r="A15" s="247" t="s">
        <v>1589</v>
      </c>
      <c r="B15" s="248" t="s">
        <v>1205</v>
      </c>
    </row>
    <row r="16" spans="1:2">
      <c r="A16" s="247" t="s">
        <v>1590</v>
      </c>
      <c r="B16" s="248" t="s">
        <v>1591</v>
      </c>
    </row>
    <row r="17" spans="1:2">
      <c r="A17" s="247" t="s">
        <v>1592</v>
      </c>
      <c r="B17" s="248" t="s">
        <v>1593</v>
      </c>
    </row>
    <row r="18" spans="1:2">
      <c r="A18" s="247" t="s">
        <v>1594</v>
      </c>
      <c r="B18" s="248" t="s">
        <v>1595</v>
      </c>
    </row>
    <row r="19" spans="1:2">
      <c r="A19" s="247" t="s">
        <v>1596</v>
      </c>
      <c r="B19" s="248" t="s">
        <v>1597</v>
      </c>
    </row>
    <row r="20" spans="1:2">
      <c r="A20" s="247" t="s">
        <v>1598</v>
      </c>
      <c r="B20" s="248" t="s">
        <v>1599</v>
      </c>
    </row>
    <row r="21" spans="1:2">
      <c r="A21" s="247" t="s">
        <v>1600</v>
      </c>
      <c r="B21" s="248" t="s">
        <v>1601</v>
      </c>
    </row>
    <row r="22" spans="1:2">
      <c r="A22" s="247" t="s">
        <v>1602</v>
      </c>
      <c r="B22" s="248" t="s">
        <v>1603</v>
      </c>
    </row>
    <row r="23" spans="1:2">
      <c r="A23" s="247" t="s">
        <v>1604</v>
      </c>
      <c r="B23" s="248" t="s">
        <v>1605</v>
      </c>
    </row>
    <row r="24" spans="1:2">
      <c r="A24" s="247" t="s">
        <v>1606</v>
      </c>
      <c r="B24" s="248" t="s">
        <v>1607</v>
      </c>
    </row>
    <row r="25" spans="1:2">
      <c r="A25" s="247" t="s">
        <v>1608</v>
      </c>
      <c r="B25" s="248" t="s">
        <v>1609</v>
      </c>
    </row>
    <row r="26" spans="1:2">
      <c r="A26" s="247" t="s">
        <v>1610</v>
      </c>
      <c r="B26" s="248" t="s">
        <v>1611</v>
      </c>
    </row>
    <row r="27" spans="1:2">
      <c r="A27" s="247" t="s">
        <v>1612</v>
      </c>
      <c r="B27" s="248" t="s">
        <v>1613</v>
      </c>
    </row>
    <row r="28" spans="1:2">
      <c r="A28" s="247" t="s">
        <v>1614</v>
      </c>
      <c r="B28" s="248" t="s">
        <v>1615</v>
      </c>
    </row>
    <row r="29" spans="1:2">
      <c r="A29" s="247" t="s">
        <v>1616</v>
      </c>
      <c r="B29" s="248" t="s">
        <v>1617</v>
      </c>
    </row>
    <row r="30" spans="1:2">
      <c r="A30" s="247" t="s">
        <v>1618</v>
      </c>
      <c r="B30" s="248" t="s">
        <v>1619</v>
      </c>
    </row>
    <row r="31" spans="1:2">
      <c r="A31" s="245" t="s">
        <v>1305</v>
      </c>
      <c r="B31" s="249" t="s">
        <v>1306</v>
      </c>
    </row>
    <row r="32" spans="1:2">
      <c r="A32" s="245" t="s">
        <v>1349</v>
      </c>
      <c r="B32" s="249" t="s">
        <v>895</v>
      </c>
    </row>
    <row r="33" spans="1:2">
      <c r="A33" s="247" t="s">
        <v>1620</v>
      </c>
      <c r="B33" s="248" t="s">
        <v>1621</v>
      </c>
    </row>
    <row r="34" spans="1:2">
      <c r="A34" s="247" t="s">
        <v>1622</v>
      </c>
      <c r="B34" s="248" t="s">
        <v>1623</v>
      </c>
    </row>
    <row r="35" spans="1:2">
      <c r="A35" s="247" t="s">
        <v>1624</v>
      </c>
      <c r="B35" s="248" t="s">
        <v>1625</v>
      </c>
    </row>
    <row r="36" spans="1:2">
      <c r="A36" s="247" t="s">
        <v>1626</v>
      </c>
      <c r="B36" s="248" t="s">
        <v>370</v>
      </c>
    </row>
    <row r="37" spans="1:2">
      <c r="A37" s="247" t="s">
        <v>1627</v>
      </c>
      <c r="B37" s="248" t="s">
        <v>1628</v>
      </c>
    </row>
    <row r="38" spans="1:2">
      <c r="A38" s="247" t="s">
        <v>1629</v>
      </c>
      <c r="B38" s="248" t="s">
        <v>1630</v>
      </c>
    </row>
    <row r="39" spans="1:2">
      <c r="A39" s="247" t="s">
        <v>1631</v>
      </c>
      <c r="B39" s="248" t="s">
        <v>1632</v>
      </c>
    </row>
    <row r="40" spans="1:2">
      <c r="A40" s="247" t="s">
        <v>1633</v>
      </c>
      <c r="B40" s="248" t="s">
        <v>1634</v>
      </c>
    </row>
    <row r="41" spans="1:2">
      <c r="A41" s="247" t="s">
        <v>1635</v>
      </c>
      <c r="B41" s="248" t="s">
        <v>1636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1286</v>
      </c>
    </row>
    <row r="45" spans="1:2">
      <c r="A45" s="247" t="s">
        <v>914</v>
      </c>
      <c r="B45" s="248" t="s">
        <v>915</v>
      </c>
    </row>
    <row r="46" spans="1:2">
      <c r="A46" s="247" t="s">
        <v>916</v>
      </c>
      <c r="B46" s="248" t="s">
        <v>917</v>
      </c>
    </row>
    <row r="47" spans="1:2">
      <c r="A47" s="247" t="s">
        <v>918</v>
      </c>
      <c r="B47" s="248" t="s">
        <v>919</v>
      </c>
    </row>
    <row r="48" spans="1:2">
      <c r="A48" s="247" t="s">
        <v>920</v>
      </c>
      <c r="B48" s="248" t="s">
        <v>921</v>
      </c>
    </row>
    <row r="49" spans="1:2">
      <c r="A49" s="247" t="s">
        <v>922</v>
      </c>
      <c r="B49" s="248" t="s">
        <v>923</v>
      </c>
    </row>
    <row r="50" spans="1:2">
      <c r="A50" s="247" t="s">
        <v>924</v>
      </c>
      <c r="B50" s="248" t="s">
        <v>925</v>
      </c>
    </row>
    <row r="51" spans="1:2">
      <c r="A51" s="247" t="s">
        <v>926</v>
      </c>
      <c r="B51" s="248" t="s">
        <v>927</v>
      </c>
    </row>
    <row r="52" spans="1:2">
      <c r="A52" s="247" t="s">
        <v>928</v>
      </c>
      <c r="B52" s="248" t="s">
        <v>929</v>
      </c>
    </row>
    <row r="53" spans="1:2">
      <c r="A53" s="247" t="s">
        <v>930</v>
      </c>
      <c r="B53" s="248" t="s">
        <v>931</v>
      </c>
    </row>
    <row r="54" spans="1:2">
      <c r="A54" s="245" t="s">
        <v>136</v>
      </c>
      <c r="B54" s="249" t="s">
        <v>1287</v>
      </c>
    </row>
    <row r="55" spans="1:2">
      <c r="A55" s="247" t="s">
        <v>932</v>
      </c>
      <c r="B55" s="248" t="s">
        <v>933</v>
      </c>
    </row>
    <row r="56" spans="1:2">
      <c r="A56" s="247" t="s">
        <v>934</v>
      </c>
      <c r="B56" s="248" t="s">
        <v>935</v>
      </c>
    </row>
    <row r="57" spans="1:2">
      <c r="A57" s="247" t="s">
        <v>936</v>
      </c>
      <c r="B57" s="248" t="s">
        <v>937</v>
      </c>
    </row>
    <row r="58" spans="1:2">
      <c r="A58" s="247" t="s">
        <v>938</v>
      </c>
      <c r="B58" s="248" t="s">
        <v>939</v>
      </c>
    </row>
    <row r="59" spans="1:2">
      <c r="A59" s="247" t="s">
        <v>940</v>
      </c>
      <c r="B59" s="248" t="s">
        <v>941</v>
      </c>
    </row>
    <row r="60" spans="1:2">
      <c r="A60" s="247" t="s">
        <v>942</v>
      </c>
      <c r="B60" s="248" t="s">
        <v>943</v>
      </c>
    </row>
    <row r="61" spans="1:2">
      <c r="A61" s="247" t="s">
        <v>944</v>
      </c>
      <c r="B61" s="248" t="s">
        <v>945</v>
      </c>
    </row>
    <row r="62" spans="1:2">
      <c r="A62" s="247" t="s">
        <v>946</v>
      </c>
      <c r="B62" s="248" t="s">
        <v>947</v>
      </c>
    </row>
    <row r="63" spans="1:2">
      <c r="A63" s="247" t="s">
        <v>948</v>
      </c>
      <c r="B63" s="248" t="s">
        <v>949</v>
      </c>
    </row>
    <row r="64" spans="1:2">
      <c r="A64" s="247" t="s">
        <v>950</v>
      </c>
      <c r="B64" s="248" t="s">
        <v>951</v>
      </c>
    </row>
    <row r="65" spans="1:2">
      <c r="A65" s="247" t="s">
        <v>952</v>
      </c>
      <c r="B65" s="248" t="s">
        <v>953</v>
      </c>
    </row>
    <row r="66" spans="1:2">
      <c r="A66" s="247" t="s">
        <v>954</v>
      </c>
      <c r="B66" s="248" t="s">
        <v>955</v>
      </c>
    </row>
    <row r="67" spans="1:2">
      <c r="A67" s="247" t="s">
        <v>956</v>
      </c>
      <c r="B67" s="248" t="s">
        <v>957</v>
      </c>
    </row>
    <row r="68" spans="1:2">
      <c r="A68" s="247" t="s">
        <v>958</v>
      </c>
      <c r="B68" s="248" t="s">
        <v>959</v>
      </c>
    </row>
    <row r="69" spans="1:2">
      <c r="A69" s="247" t="s">
        <v>960</v>
      </c>
      <c r="B69" s="248" t="s">
        <v>961</v>
      </c>
    </row>
    <row r="70" spans="1:2">
      <c r="A70" s="247" t="s">
        <v>962</v>
      </c>
      <c r="B70" s="248" t="s">
        <v>963</v>
      </c>
    </row>
    <row r="71" spans="1:2">
      <c r="A71" s="247" t="s">
        <v>964</v>
      </c>
      <c r="B71" s="248" t="s">
        <v>965</v>
      </c>
    </row>
    <row r="72" spans="1:2">
      <c r="A72" s="247" t="s">
        <v>966</v>
      </c>
      <c r="B72" s="248" t="s">
        <v>967</v>
      </c>
    </row>
    <row r="73" spans="1:2">
      <c r="A73" s="247" t="s">
        <v>968</v>
      </c>
      <c r="B73" s="248" t="s">
        <v>969</v>
      </c>
    </row>
    <row r="74" spans="1:2">
      <c r="A74" s="247" t="s">
        <v>970</v>
      </c>
      <c r="B74" s="248" t="s">
        <v>971</v>
      </c>
    </row>
    <row r="75" spans="1:2">
      <c r="A75" s="247" t="s">
        <v>972</v>
      </c>
      <c r="B75" s="248" t="s">
        <v>973</v>
      </c>
    </row>
    <row r="76" spans="1:2">
      <c r="A76" s="247" t="s">
        <v>974</v>
      </c>
      <c r="B76" s="248" t="s">
        <v>975</v>
      </c>
    </row>
    <row r="77" spans="1:2">
      <c r="A77" s="247" t="s">
        <v>976</v>
      </c>
      <c r="B77" s="248" t="s">
        <v>977</v>
      </c>
    </row>
    <row r="78" spans="1:2">
      <c r="A78" s="245" t="s">
        <v>144</v>
      </c>
      <c r="B78" s="249" t="s">
        <v>1289</v>
      </c>
    </row>
    <row r="79" spans="1:2">
      <c r="A79" s="247" t="s">
        <v>978</v>
      </c>
      <c r="B79" s="248" t="s">
        <v>979</v>
      </c>
    </row>
    <row r="80" spans="1:2">
      <c r="A80" s="247" t="s">
        <v>980</v>
      </c>
      <c r="B80" s="248" t="s">
        <v>981</v>
      </c>
    </row>
    <row r="81" spans="1:2">
      <c r="A81" s="247" t="s">
        <v>982</v>
      </c>
      <c r="B81" s="248" t="s">
        <v>983</v>
      </c>
    </row>
    <row r="82" spans="1:2">
      <c r="A82" s="247" t="s">
        <v>984</v>
      </c>
      <c r="B82" s="248" t="s">
        <v>985</v>
      </c>
    </row>
    <row r="83" spans="1:2">
      <c r="A83" s="247" t="s">
        <v>986</v>
      </c>
      <c r="B83" s="248" t="s">
        <v>987</v>
      </c>
    </row>
    <row r="84" spans="1:2">
      <c r="A84" s="247" t="s">
        <v>988</v>
      </c>
      <c r="B84" s="248" t="s">
        <v>989</v>
      </c>
    </row>
    <row r="85" spans="1:2">
      <c r="A85" s="247" t="s">
        <v>990</v>
      </c>
      <c r="B85" s="248" t="s">
        <v>991</v>
      </c>
    </row>
    <row r="86" spans="1:2">
      <c r="A86" s="247" t="s">
        <v>992</v>
      </c>
      <c r="B86" s="248" t="s">
        <v>993</v>
      </c>
    </row>
    <row r="87" spans="1:2">
      <c r="A87" s="245" t="s">
        <v>150</v>
      </c>
      <c r="B87" s="249" t="s">
        <v>1290</v>
      </c>
    </row>
    <row r="88" spans="1:2">
      <c r="A88" s="247" t="s">
        <v>994</v>
      </c>
      <c r="B88" s="248" t="s">
        <v>995</v>
      </c>
    </row>
    <row r="89" spans="1:2">
      <c r="A89" s="247" t="s">
        <v>996</v>
      </c>
      <c r="B89" s="248" t="s">
        <v>997</v>
      </c>
    </row>
    <row r="90" spans="1:2">
      <c r="A90" s="247" t="s">
        <v>998</v>
      </c>
      <c r="B90" s="248" t="s">
        <v>999</v>
      </c>
    </row>
    <row r="91" spans="1:2">
      <c r="A91" s="247" t="s">
        <v>1000</v>
      </c>
      <c r="B91" s="248" t="s">
        <v>1001</v>
      </c>
    </row>
    <row r="92" spans="1:2">
      <c r="A92" s="247" t="s">
        <v>1002</v>
      </c>
      <c r="B92" s="248" t="s">
        <v>1003</v>
      </c>
    </row>
    <row r="93" spans="1:2">
      <c r="A93" s="247" t="s">
        <v>1004</v>
      </c>
      <c r="B93" s="248" t="s">
        <v>1005</v>
      </c>
    </row>
    <row r="94" spans="1:2">
      <c r="A94" s="247" t="s">
        <v>1006</v>
      </c>
      <c r="B94" s="248" t="s">
        <v>1007</v>
      </c>
    </row>
    <row r="95" spans="1:2">
      <c r="A95" s="247" t="s">
        <v>1008</v>
      </c>
      <c r="B95" s="248" t="s">
        <v>1009</v>
      </c>
    </row>
    <row r="96" spans="1:2">
      <c r="A96" s="245" t="s">
        <v>152</v>
      </c>
      <c r="B96" s="249" t="s">
        <v>1291</v>
      </c>
    </row>
    <row r="97" spans="1:2">
      <c r="A97" s="247" t="s">
        <v>1010</v>
      </c>
      <c r="B97" s="248" t="s">
        <v>1011</v>
      </c>
    </row>
    <row r="98" spans="1:2">
      <c r="A98" s="247" t="s">
        <v>1012</v>
      </c>
      <c r="B98" s="248" t="s">
        <v>1013</v>
      </c>
    </row>
    <row r="99" spans="1:2">
      <c r="A99" s="247" t="s">
        <v>1014</v>
      </c>
      <c r="B99" s="248" t="s">
        <v>1015</v>
      </c>
    </row>
    <row r="100" spans="1:2">
      <c r="A100" s="245" t="s">
        <v>154</v>
      </c>
      <c r="B100" s="249" t="s">
        <v>1292</v>
      </c>
    </row>
    <row r="101" spans="1:2">
      <c r="A101" s="247" t="s">
        <v>1016</v>
      </c>
      <c r="B101" s="248" t="s">
        <v>1017</v>
      </c>
    </row>
    <row r="102" spans="1:2">
      <c r="A102" s="247" t="s">
        <v>1018</v>
      </c>
      <c r="B102" s="248" t="s">
        <v>1019</v>
      </c>
    </row>
    <row r="103" spans="1:2">
      <c r="A103" s="247" t="s">
        <v>1020</v>
      </c>
      <c r="B103" s="248" t="s">
        <v>1021</v>
      </c>
    </row>
    <row r="104" spans="1:2">
      <c r="A104" s="247" t="s">
        <v>1022</v>
      </c>
      <c r="B104" s="248" t="s">
        <v>1023</v>
      </c>
    </row>
    <row r="105" spans="1:2">
      <c r="A105" s="247" t="s">
        <v>1024</v>
      </c>
      <c r="B105" s="248" t="s">
        <v>1025</v>
      </c>
    </row>
    <row r="106" spans="1:2">
      <c r="A106" s="247" t="s">
        <v>1026</v>
      </c>
      <c r="B106" s="248" t="s">
        <v>1027</v>
      </c>
    </row>
    <row r="107" spans="1:2">
      <c r="A107" s="247" t="s">
        <v>1028</v>
      </c>
      <c r="B107" s="248" t="s">
        <v>1029</v>
      </c>
    </row>
    <row r="108" spans="1:2">
      <c r="A108" s="247" t="s">
        <v>1030</v>
      </c>
      <c r="B108" s="248" t="s">
        <v>1031</v>
      </c>
    </row>
    <row r="109" spans="1:2">
      <c r="A109" s="247" t="s">
        <v>1032</v>
      </c>
      <c r="B109" s="248" t="s">
        <v>1033</v>
      </c>
    </row>
    <row r="110" spans="1:2">
      <c r="A110" s="247" t="s">
        <v>1034</v>
      </c>
      <c r="B110" s="248" t="s">
        <v>1035</v>
      </c>
    </row>
    <row r="111" spans="1:2">
      <c r="A111" s="247" t="s">
        <v>1036</v>
      </c>
      <c r="B111" s="248" t="s">
        <v>1037</v>
      </c>
    </row>
    <row r="112" spans="1:2" ht="22.5">
      <c r="A112" s="247" t="s">
        <v>1038</v>
      </c>
      <c r="B112" s="248" t="s">
        <v>1039</v>
      </c>
    </row>
    <row r="113" spans="1:2">
      <c r="A113" s="247" t="s">
        <v>1040</v>
      </c>
      <c r="B113" s="248" t="s">
        <v>1041</v>
      </c>
    </row>
    <row r="114" spans="1:2">
      <c r="A114" s="247" t="s">
        <v>1042</v>
      </c>
      <c r="B114" s="248" t="s">
        <v>1043</v>
      </c>
    </row>
    <row r="115" spans="1:2">
      <c r="A115" s="247" t="s">
        <v>1044</v>
      </c>
      <c r="B115" s="248" t="s">
        <v>1045</v>
      </c>
    </row>
    <row r="116" spans="1:2">
      <c r="A116" s="247" t="s">
        <v>1046</v>
      </c>
      <c r="B116" s="248" t="s">
        <v>1047</v>
      </c>
    </row>
    <row r="117" spans="1:2">
      <c r="A117" s="247" t="s">
        <v>1048</v>
      </c>
      <c r="B117" s="248" t="s">
        <v>1049</v>
      </c>
    </row>
    <row r="118" spans="1:2">
      <c r="A118" s="247" t="s">
        <v>1050</v>
      </c>
      <c r="B118" s="248" t="s">
        <v>1051</v>
      </c>
    </row>
    <row r="119" spans="1:2">
      <c r="A119" s="247" t="s">
        <v>1052</v>
      </c>
      <c r="B119" s="248" t="s">
        <v>1053</v>
      </c>
    </row>
    <row r="120" spans="1:2">
      <c r="A120" s="247" t="s">
        <v>1054</v>
      </c>
      <c r="B120" s="248" t="s">
        <v>1055</v>
      </c>
    </row>
    <row r="121" spans="1:2">
      <c r="A121" s="247" t="s">
        <v>1056</v>
      </c>
      <c r="B121" s="248" t="s">
        <v>1057</v>
      </c>
    </row>
    <row r="122" spans="1:2">
      <c r="A122" s="247" t="s">
        <v>1058</v>
      </c>
      <c r="B122" s="248" t="s">
        <v>1059</v>
      </c>
    </row>
    <row r="123" spans="1:2">
      <c r="A123" s="247" t="s">
        <v>1060</v>
      </c>
      <c r="B123" s="248" t="s">
        <v>1061</v>
      </c>
    </row>
    <row r="124" spans="1:2">
      <c r="A124" s="247" t="s">
        <v>1062</v>
      </c>
      <c r="B124" s="248" t="s">
        <v>1063</v>
      </c>
    </row>
    <row r="125" spans="1:2">
      <c r="A125" s="247" t="s">
        <v>1064</v>
      </c>
      <c r="B125" s="248" t="s">
        <v>1065</v>
      </c>
    </row>
    <row r="126" spans="1:2">
      <c r="A126" s="247" t="s">
        <v>1066</v>
      </c>
      <c r="B126" s="248" t="s">
        <v>1067</v>
      </c>
    </row>
    <row r="127" spans="1:2">
      <c r="A127" s="247" t="s">
        <v>1068</v>
      </c>
      <c r="B127" s="248" t="s">
        <v>1069</v>
      </c>
    </row>
    <row r="128" spans="1:2">
      <c r="A128" s="247" t="s">
        <v>1070</v>
      </c>
      <c r="B128" s="248" t="s">
        <v>1071</v>
      </c>
    </row>
    <row r="129" spans="1:2">
      <c r="A129" s="247" t="s">
        <v>1072</v>
      </c>
      <c r="B129" s="248" t="s">
        <v>1071</v>
      </c>
    </row>
    <row r="130" spans="1:2">
      <c r="A130" s="247" t="s">
        <v>1073</v>
      </c>
      <c r="B130" s="248" t="s">
        <v>1074</v>
      </c>
    </row>
    <row r="131" spans="1:2">
      <c r="A131" s="247" t="s">
        <v>1075</v>
      </c>
      <c r="B131" s="248" t="s">
        <v>1076</v>
      </c>
    </row>
    <row r="132" spans="1:2">
      <c r="A132" s="247" t="s">
        <v>1077</v>
      </c>
      <c r="B132" s="248" t="s">
        <v>1074</v>
      </c>
    </row>
    <row r="133" spans="1:2">
      <c r="A133" s="245" t="s">
        <v>158</v>
      </c>
      <c r="B133" s="249" t="s">
        <v>1293</v>
      </c>
    </row>
    <row r="134" spans="1:2">
      <c r="A134" s="247" t="s">
        <v>1078</v>
      </c>
      <c r="B134" s="248" t="s">
        <v>1079</v>
      </c>
    </row>
    <row r="135" spans="1:2">
      <c r="A135" s="247" t="s">
        <v>1080</v>
      </c>
      <c r="B135" s="248" t="s">
        <v>1081</v>
      </c>
    </row>
    <row r="136" spans="1:2">
      <c r="A136" s="247" t="s">
        <v>1082</v>
      </c>
      <c r="B136" s="248" t="s">
        <v>1083</v>
      </c>
    </row>
    <row r="137" spans="1:2">
      <c r="A137" s="247" t="s">
        <v>1084</v>
      </c>
      <c r="B137" s="248" t="s">
        <v>1085</v>
      </c>
    </row>
    <row r="138" spans="1:2">
      <c r="A138" s="247" t="s">
        <v>1086</v>
      </c>
      <c r="B138" s="248" t="s">
        <v>1087</v>
      </c>
    </row>
    <row r="139" spans="1:2">
      <c r="A139" s="247" t="s">
        <v>1088</v>
      </c>
      <c r="B139" s="248" t="s">
        <v>1089</v>
      </c>
    </row>
    <row r="140" spans="1:2">
      <c r="A140" s="247" t="s">
        <v>1090</v>
      </c>
      <c r="B140" s="248" t="s">
        <v>1091</v>
      </c>
    </row>
    <row r="141" spans="1:2">
      <c r="A141" s="247" t="s">
        <v>1092</v>
      </c>
      <c r="B141" s="248" t="s">
        <v>1093</v>
      </c>
    </row>
    <row r="142" spans="1:2">
      <c r="A142" s="247" t="s">
        <v>1094</v>
      </c>
      <c r="B142" s="248" t="s">
        <v>1095</v>
      </c>
    </row>
    <row r="143" spans="1:2">
      <c r="A143" s="247" t="s">
        <v>1096</v>
      </c>
      <c r="B143" s="248" t="s">
        <v>1097</v>
      </c>
    </row>
    <row r="144" spans="1:2">
      <c r="A144" s="247" t="s">
        <v>1098</v>
      </c>
      <c r="B144" s="248" t="s">
        <v>1099</v>
      </c>
    </row>
    <row r="145" spans="1:2">
      <c r="A145" s="247" t="s">
        <v>1100</v>
      </c>
      <c r="B145" s="248" t="s">
        <v>1101</v>
      </c>
    </row>
    <row r="146" spans="1:2">
      <c r="A146" s="247" t="s">
        <v>1102</v>
      </c>
      <c r="B146" s="248" t="s">
        <v>1103</v>
      </c>
    </row>
    <row r="147" spans="1:2">
      <c r="A147" s="247" t="s">
        <v>1104</v>
      </c>
      <c r="B147" s="248" t="s">
        <v>1105</v>
      </c>
    </row>
    <row r="148" spans="1:2">
      <c r="A148" s="247" t="s">
        <v>1106</v>
      </c>
      <c r="B148" s="248" t="s">
        <v>1107</v>
      </c>
    </row>
    <row r="149" spans="1:2">
      <c r="A149" s="247" t="s">
        <v>1108</v>
      </c>
      <c r="B149" s="248" t="s">
        <v>1109</v>
      </c>
    </row>
    <row r="150" spans="1:2">
      <c r="A150" s="247" t="s">
        <v>1110</v>
      </c>
      <c r="B150" s="248" t="s">
        <v>1111</v>
      </c>
    </row>
    <row r="151" spans="1:2">
      <c r="A151" s="247" t="s">
        <v>1112</v>
      </c>
      <c r="B151" s="248" t="s">
        <v>1113</v>
      </c>
    </row>
    <row r="152" spans="1:2">
      <c r="A152" s="247" t="s">
        <v>1114</v>
      </c>
      <c r="B152" s="248" t="s">
        <v>1115</v>
      </c>
    </row>
    <row r="153" spans="1:2">
      <c r="A153" s="247" t="s">
        <v>1116</v>
      </c>
      <c r="B153" s="248" t="s">
        <v>1117</v>
      </c>
    </row>
    <row r="154" spans="1:2">
      <c r="A154" s="247" t="s">
        <v>1118</v>
      </c>
      <c r="B154" s="248" t="s">
        <v>1119</v>
      </c>
    </row>
    <row r="155" spans="1:2">
      <c r="A155" s="247" t="s">
        <v>1120</v>
      </c>
      <c r="B155" s="248" t="s">
        <v>1121</v>
      </c>
    </row>
    <row r="156" spans="1:2">
      <c r="A156" s="247" t="s">
        <v>1122</v>
      </c>
      <c r="B156" s="248" t="s">
        <v>1123</v>
      </c>
    </row>
    <row r="157" spans="1:2">
      <c r="A157" s="247" t="s">
        <v>1124</v>
      </c>
      <c r="B157" s="248" t="s">
        <v>1125</v>
      </c>
    </row>
    <row r="158" spans="1:2">
      <c r="A158" s="247" t="s">
        <v>1126</v>
      </c>
      <c r="B158" s="248" t="s">
        <v>1127</v>
      </c>
    </row>
    <row r="159" spans="1:2">
      <c r="A159" s="247" t="s">
        <v>1128</v>
      </c>
      <c r="B159" s="248" t="s">
        <v>1129</v>
      </c>
    </row>
    <row r="160" spans="1:2">
      <c r="A160" s="247" t="s">
        <v>1130</v>
      </c>
      <c r="B160" s="248" t="s">
        <v>1131</v>
      </c>
    </row>
    <row r="161" spans="1:2">
      <c r="A161" s="247" t="s">
        <v>1132</v>
      </c>
      <c r="B161" s="248" t="s">
        <v>1133</v>
      </c>
    </row>
    <row r="162" spans="1:2">
      <c r="A162" s="247" t="s">
        <v>1134</v>
      </c>
      <c r="B162" s="248" t="s">
        <v>1135</v>
      </c>
    </row>
    <row r="163" spans="1:2">
      <c r="A163" s="247" t="s">
        <v>1136</v>
      </c>
      <c r="B163" s="248" t="s">
        <v>1137</v>
      </c>
    </row>
    <row r="164" spans="1:2">
      <c r="A164" s="247" t="s">
        <v>1138</v>
      </c>
      <c r="B164" s="248" t="s">
        <v>1139</v>
      </c>
    </row>
    <row r="165" spans="1:2">
      <c r="A165" s="247" t="s">
        <v>1140</v>
      </c>
      <c r="B165" s="248" t="s">
        <v>1141</v>
      </c>
    </row>
    <row r="166" spans="1:2">
      <c r="A166" s="247" t="s">
        <v>1142</v>
      </c>
      <c r="B166" s="248" t="s">
        <v>1143</v>
      </c>
    </row>
    <row r="167" spans="1:2">
      <c r="A167" s="247" t="s">
        <v>1144</v>
      </c>
      <c r="B167" s="248" t="s">
        <v>1145</v>
      </c>
    </row>
    <row r="168" spans="1:2">
      <c r="A168" s="247" t="s">
        <v>1146</v>
      </c>
      <c r="B168" s="248" t="s">
        <v>1147</v>
      </c>
    </row>
    <row r="169" spans="1:2">
      <c r="A169" s="247" t="s">
        <v>1148</v>
      </c>
      <c r="B169" s="248" t="s">
        <v>1149</v>
      </c>
    </row>
    <row r="170" spans="1:2">
      <c r="A170" s="247" t="s">
        <v>1150</v>
      </c>
      <c r="B170" s="248" t="s">
        <v>1151</v>
      </c>
    </row>
    <row r="171" spans="1:2">
      <c r="A171" s="247" t="s">
        <v>1152</v>
      </c>
      <c r="B171" s="248" t="s">
        <v>1153</v>
      </c>
    </row>
    <row r="172" spans="1:2">
      <c r="A172" s="247" t="s">
        <v>1154</v>
      </c>
      <c r="B172" s="248" t="s">
        <v>1155</v>
      </c>
    </row>
    <row r="173" spans="1:2">
      <c r="A173" s="247" t="s">
        <v>1156</v>
      </c>
      <c r="B173" s="248" t="s">
        <v>1157</v>
      </c>
    </row>
    <row r="174" spans="1:2">
      <c r="A174" s="247" t="s">
        <v>1158</v>
      </c>
      <c r="B174" s="248" t="s">
        <v>1159</v>
      </c>
    </row>
    <row r="175" spans="1:2">
      <c r="A175" s="247" t="s">
        <v>1160</v>
      </c>
      <c r="B175" s="248" t="s">
        <v>1161</v>
      </c>
    </row>
    <row r="176" spans="1:2">
      <c r="A176" s="247" t="s">
        <v>1162</v>
      </c>
      <c r="B176" s="248" t="s">
        <v>1163</v>
      </c>
    </row>
    <row r="177" spans="1:2">
      <c r="A177" s="247" t="s">
        <v>1164</v>
      </c>
      <c r="B177" s="248" t="s">
        <v>1165</v>
      </c>
    </row>
    <row r="178" spans="1:2">
      <c r="A178" s="247" t="s">
        <v>1166</v>
      </c>
      <c r="B178" s="248" t="s">
        <v>1167</v>
      </c>
    </row>
    <row r="179" spans="1:2">
      <c r="A179" s="247" t="s">
        <v>1168</v>
      </c>
      <c r="B179" s="248" t="s">
        <v>1169</v>
      </c>
    </row>
    <row r="180" spans="1:2">
      <c r="A180" s="247" t="s">
        <v>1170</v>
      </c>
      <c r="B180" s="248" t="s">
        <v>1171</v>
      </c>
    </row>
    <row r="181" spans="1:2">
      <c r="A181" s="247" t="s">
        <v>1172</v>
      </c>
      <c r="B181" s="248" t="s">
        <v>1173</v>
      </c>
    </row>
    <row r="182" spans="1:2">
      <c r="A182" s="247" t="s">
        <v>1174</v>
      </c>
      <c r="B182" s="248" t="s">
        <v>1175</v>
      </c>
    </row>
    <row r="183" spans="1:2">
      <c r="A183" s="247" t="s">
        <v>1176</v>
      </c>
      <c r="B183" s="248" t="s">
        <v>1177</v>
      </c>
    </row>
    <row r="184" spans="1:2">
      <c r="A184" s="247" t="s">
        <v>1178</v>
      </c>
      <c r="B184" s="248" t="s">
        <v>1179</v>
      </c>
    </row>
    <row r="185" spans="1:2">
      <c r="A185" s="247" t="s">
        <v>1180</v>
      </c>
      <c r="B185" s="248" t="s">
        <v>1181</v>
      </c>
    </row>
    <row r="186" spans="1:2">
      <c r="A186" s="247" t="s">
        <v>1182</v>
      </c>
      <c r="B186" s="248" t="s">
        <v>1183</v>
      </c>
    </row>
    <row r="187" spans="1:2">
      <c r="A187" s="247" t="s">
        <v>1184</v>
      </c>
      <c r="B187" s="248" t="s">
        <v>1185</v>
      </c>
    </row>
    <row r="188" spans="1:2">
      <c r="A188" s="245" t="s">
        <v>164</v>
      </c>
      <c r="B188" s="249" t="s">
        <v>1294</v>
      </c>
    </row>
    <row r="189" spans="1:2">
      <c r="A189" s="247" t="s">
        <v>1186</v>
      </c>
      <c r="B189" s="248" t="s">
        <v>1187</v>
      </c>
    </row>
    <row r="190" spans="1:2">
      <c r="A190" s="247" t="s">
        <v>1188</v>
      </c>
      <c r="B190" s="248" t="s">
        <v>1189</v>
      </c>
    </row>
    <row r="191" spans="1:2">
      <c r="A191" s="247" t="s">
        <v>1190</v>
      </c>
      <c r="B191" s="248" t="s">
        <v>1191</v>
      </c>
    </row>
    <row r="192" spans="1:2">
      <c r="A192" s="247" t="s">
        <v>1192</v>
      </c>
      <c r="B192" s="248" t="s">
        <v>1193</v>
      </c>
    </row>
    <row r="193" spans="1:2">
      <c r="A193" s="245" t="s">
        <v>286</v>
      </c>
      <c r="B193" s="249" t="s">
        <v>895</v>
      </c>
    </row>
    <row r="194" spans="1:2">
      <c r="A194" s="247" t="s">
        <v>1194</v>
      </c>
      <c r="B194" s="248" t="s">
        <v>369</v>
      </c>
    </row>
    <row r="195" spans="1:2">
      <c r="A195" s="247" t="s">
        <v>1195</v>
      </c>
      <c r="B195" s="248" t="s">
        <v>370</v>
      </c>
    </row>
    <row r="196" spans="1:2">
      <c r="A196" s="247" t="s">
        <v>1196</v>
      </c>
      <c r="B196" s="248" t="s">
        <v>1197</v>
      </c>
    </row>
    <row r="197" spans="1:2">
      <c r="A197" s="247" t="s">
        <v>1198</v>
      </c>
      <c r="B197" s="248" t="s">
        <v>1199</v>
      </c>
    </row>
    <row r="198" spans="1:2">
      <c r="A198" s="245" t="s">
        <v>896</v>
      </c>
      <c r="B198" s="249" t="s">
        <v>897</v>
      </c>
    </row>
    <row r="199" spans="1:2">
      <c r="A199" s="247" t="s">
        <v>1200</v>
      </c>
      <c r="B199" s="248" t="s">
        <v>1201</v>
      </c>
    </row>
    <row r="200" spans="1:2">
      <c r="A200" s="247" t="s">
        <v>1202</v>
      </c>
      <c r="B200" s="248" t="s">
        <v>1203</v>
      </c>
    </row>
    <row r="201" spans="1:2">
      <c r="A201" s="247" t="s">
        <v>1204</v>
      </c>
      <c r="B201" s="248" t="s">
        <v>1205</v>
      </c>
    </row>
    <row r="202" spans="1:2">
      <c r="A202" s="245" t="s">
        <v>898</v>
      </c>
      <c r="B202" s="249" t="s">
        <v>899</v>
      </c>
    </row>
    <row r="203" spans="1:2">
      <c r="A203" s="247" t="s">
        <v>1206</v>
      </c>
      <c r="B203" s="248" t="s">
        <v>1207</v>
      </c>
    </row>
    <row r="204" spans="1:2">
      <c r="A204" s="243" t="s">
        <v>704</v>
      </c>
      <c r="B204" s="250" t="s">
        <v>1307</v>
      </c>
    </row>
    <row r="205" spans="1:2">
      <c r="A205" s="245" t="s">
        <v>1305</v>
      </c>
      <c r="B205" s="249" t="s">
        <v>1306</v>
      </c>
    </row>
    <row r="206" spans="1:2">
      <c r="A206" s="245" t="s">
        <v>906</v>
      </c>
      <c r="B206" s="249" t="s">
        <v>1311</v>
      </c>
    </row>
    <row r="207" spans="1:2">
      <c r="A207" s="247" t="s">
        <v>1208</v>
      </c>
      <c r="B207" s="248" t="s">
        <v>1209</v>
      </c>
    </row>
    <row r="208" spans="1:2">
      <c r="A208" s="247" t="s">
        <v>1210</v>
      </c>
      <c r="B208" s="248" t="s">
        <v>1211</v>
      </c>
    </row>
    <row r="209" spans="1:2">
      <c r="A209" s="247" t="s">
        <v>1212</v>
      </c>
      <c r="B209" s="248" t="s">
        <v>1213</v>
      </c>
    </row>
    <row r="210" spans="1:2">
      <c r="A210" s="247" t="s">
        <v>1214</v>
      </c>
      <c r="B210" s="248" t="s">
        <v>1215</v>
      </c>
    </row>
    <row r="211" spans="1:2">
      <c r="A211" s="247" t="s">
        <v>1216</v>
      </c>
      <c r="B211" s="248" t="s">
        <v>1217</v>
      </c>
    </row>
    <row r="212" spans="1:2">
      <c r="A212" s="247" t="s">
        <v>1218</v>
      </c>
      <c r="B212" s="248" t="s">
        <v>1219</v>
      </c>
    </row>
    <row r="213" spans="1:2">
      <c r="A213" s="247" t="s">
        <v>1220</v>
      </c>
      <c r="B213" s="248" t="s">
        <v>1221</v>
      </c>
    </row>
    <row r="214" spans="1:2">
      <c r="A214" s="247" t="s">
        <v>1222</v>
      </c>
      <c r="B214" s="248" t="s">
        <v>1223</v>
      </c>
    </row>
    <row r="215" spans="1:2">
      <c r="A215" s="247" t="s">
        <v>1224</v>
      </c>
      <c r="B215" s="248" t="s">
        <v>1225</v>
      </c>
    </row>
    <row r="216" spans="1:2">
      <c r="A216" s="247" t="s">
        <v>1226</v>
      </c>
      <c r="B216" s="248" t="s">
        <v>1227</v>
      </c>
    </row>
    <row r="217" spans="1:2">
      <c r="A217" s="247" t="s">
        <v>1228</v>
      </c>
      <c r="B217" s="248" t="s">
        <v>1229</v>
      </c>
    </row>
    <row r="218" spans="1:2">
      <c r="A218" s="247" t="s">
        <v>1230</v>
      </c>
      <c r="B218" s="248" t="s">
        <v>1231</v>
      </c>
    </row>
    <row r="219" spans="1:2">
      <c r="A219" s="247" t="s">
        <v>1232</v>
      </c>
      <c r="B219" s="248" t="s">
        <v>1233</v>
      </c>
    </row>
    <row r="220" spans="1:2">
      <c r="A220" s="247" t="s">
        <v>1234</v>
      </c>
      <c r="B220" s="248" t="s">
        <v>1235</v>
      </c>
    </row>
    <row r="221" spans="1:2">
      <c r="A221" s="247" t="s">
        <v>1236</v>
      </c>
      <c r="B221" s="248" t="s">
        <v>1237</v>
      </c>
    </row>
    <row r="222" spans="1:2">
      <c r="A222" s="247" t="s">
        <v>1238</v>
      </c>
      <c r="B222" s="248" t="s">
        <v>1239</v>
      </c>
    </row>
    <row r="223" spans="1:2">
      <c r="A223" s="247" t="s">
        <v>1240</v>
      </c>
      <c r="B223" s="248" t="s">
        <v>1241</v>
      </c>
    </row>
    <row r="224" spans="1:2">
      <c r="A224" s="247" t="s">
        <v>1242</v>
      </c>
      <c r="B224" s="248" t="s">
        <v>1243</v>
      </c>
    </row>
    <row r="225" spans="1:2">
      <c r="A225" s="247" t="s">
        <v>1244</v>
      </c>
      <c r="B225" s="248" t="s">
        <v>1245</v>
      </c>
    </row>
    <row r="226" spans="1:2" ht="22.5">
      <c r="A226" s="247" t="s">
        <v>1246</v>
      </c>
      <c r="B226" s="248" t="s">
        <v>1247</v>
      </c>
    </row>
    <row r="227" spans="1:2">
      <c r="A227" s="247" t="s">
        <v>1248</v>
      </c>
      <c r="B227" s="248" t="s">
        <v>1249</v>
      </c>
    </row>
    <row r="228" spans="1:2">
      <c r="A228" s="247" t="s">
        <v>1250</v>
      </c>
      <c r="B228" s="248" t="s">
        <v>1251</v>
      </c>
    </row>
    <row r="229" spans="1:2">
      <c r="A229" s="247" t="s">
        <v>1252</v>
      </c>
      <c r="B229" s="248" t="s">
        <v>1253</v>
      </c>
    </row>
    <row r="230" spans="1:2">
      <c r="A230" s="247" t="s">
        <v>1254</v>
      </c>
      <c r="B230" s="248" t="s">
        <v>1255</v>
      </c>
    </row>
    <row r="231" spans="1:2">
      <c r="A231" s="247" t="s">
        <v>1256</v>
      </c>
      <c r="B231" s="248" t="s">
        <v>1257</v>
      </c>
    </row>
    <row r="232" spans="1:2">
      <c r="A232" s="247" t="s">
        <v>1258</v>
      </c>
      <c r="B232" s="248" t="s">
        <v>1259</v>
      </c>
    </row>
    <row r="233" spans="1:2">
      <c r="A233" s="247" t="s">
        <v>1260</v>
      </c>
      <c r="B233" s="248" t="s">
        <v>1261</v>
      </c>
    </row>
    <row r="234" spans="1:2">
      <c r="A234" s="247" t="s">
        <v>1262</v>
      </c>
      <c r="B234" s="248" t="s">
        <v>1263</v>
      </c>
    </row>
    <row r="235" spans="1:2">
      <c r="A235" s="247" t="s">
        <v>1264</v>
      </c>
      <c r="B235" s="248" t="s">
        <v>1265</v>
      </c>
    </row>
    <row r="236" spans="1:2">
      <c r="A236" s="247" t="s">
        <v>1266</v>
      </c>
      <c r="B236" s="248" t="s">
        <v>1267</v>
      </c>
    </row>
    <row r="237" spans="1:2">
      <c r="A237" s="247" t="s">
        <v>1268</v>
      </c>
      <c r="B237" s="248" t="s">
        <v>1269</v>
      </c>
    </row>
    <row r="238" spans="1:2">
      <c r="A238" s="247" t="s">
        <v>1270</v>
      </c>
      <c r="B238" s="248" t="s">
        <v>1271</v>
      </c>
    </row>
    <row r="239" spans="1:2">
      <c r="A239" s="247" t="s">
        <v>1272</v>
      </c>
      <c r="B239" s="248" t="s">
        <v>1273</v>
      </c>
    </row>
    <row r="240" spans="1:2">
      <c r="A240" s="247" t="s">
        <v>1274</v>
      </c>
      <c r="B240" s="248" t="s">
        <v>1275</v>
      </c>
    </row>
    <row r="241" spans="1:2">
      <c r="A241" s="245" t="s">
        <v>912</v>
      </c>
      <c r="B241" s="249" t="s">
        <v>895</v>
      </c>
    </row>
    <row r="242" spans="1:2">
      <c r="A242" s="247" t="s">
        <v>1276</v>
      </c>
      <c r="B242" s="248" t="s">
        <v>369</v>
      </c>
    </row>
    <row r="243" spans="1:2">
      <c r="A243" s="247" t="s">
        <v>1277</v>
      </c>
      <c r="B243" s="248" t="s">
        <v>370</v>
      </c>
    </row>
    <row r="244" spans="1:2">
      <c r="A244" s="247" t="s">
        <v>1278</v>
      </c>
      <c r="B244" s="248" t="s">
        <v>1279</v>
      </c>
    </row>
    <row r="245" spans="1:2">
      <c r="A245" s="247" t="s">
        <v>1280</v>
      </c>
      <c r="B245" s="248" t="s">
        <v>1197</v>
      </c>
    </row>
    <row r="246" spans="1:2">
      <c r="A246" s="243" t="s">
        <v>1370</v>
      </c>
      <c r="B246" s="250" t="s">
        <v>1371</v>
      </c>
    </row>
    <row r="247" spans="1:2">
      <c r="A247" s="245" t="s">
        <v>1372</v>
      </c>
      <c r="B247" s="249" t="s">
        <v>1373</v>
      </c>
    </row>
    <row r="248" spans="1:2">
      <c r="A248" s="245" t="s">
        <v>1400</v>
      </c>
      <c r="B248" s="249" t="s">
        <v>1401</v>
      </c>
    </row>
    <row r="249" spans="1:2">
      <c r="A249" s="247" t="s">
        <v>1637</v>
      </c>
      <c r="B249" s="248" t="s">
        <v>1638</v>
      </c>
    </row>
    <row r="250" spans="1:2">
      <c r="A250" s="245" t="s">
        <v>1402</v>
      </c>
      <c r="B250" s="249" t="s">
        <v>1403</v>
      </c>
    </row>
    <row r="251" spans="1:2">
      <c r="A251" s="247" t="s">
        <v>1639</v>
      </c>
      <c r="B251" s="248" t="s">
        <v>1640</v>
      </c>
    </row>
    <row r="252" spans="1:2">
      <c r="A252" s="247" t="s">
        <v>1641</v>
      </c>
      <c r="B252" s="248" t="s">
        <v>1642</v>
      </c>
    </row>
    <row r="253" spans="1:2">
      <c r="A253" s="243" t="s">
        <v>1410</v>
      </c>
      <c r="B253" s="250" t="s">
        <v>1411</v>
      </c>
    </row>
    <row r="254" spans="1:2">
      <c r="A254" s="245" t="s">
        <v>1372</v>
      </c>
      <c r="B254" s="249" t="s">
        <v>1373</v>
      </c>
    </row>
    <row r="255" spans="1:2">
      <c r="A255" s="245" t="s">
        <v>1420</v>
      </c>
      <c r="B255" s="249" t="s">
        <v>1421</v>
      </c>
    </row>
    <row r="256" spans="1:2">
      <c r="A256" s="247" t="s">
        <v>1643</v>
      </c>
      <c r="B256" s="248" t="s">
        <v>1644</v>
      </c>
    </row>
    <row r="257" spans="1:2">
      <c r="A257" s="247" t="s">
        <v>1645</v>
      </c>
      <c r="B257" s="248" t="s">
        <v>1646</v>
      </c>
    </row>
    <row r="258" spans="1:2">
      <c r="A258" s="247" t="s">
        <v>1647</v>
      </c>
      <c r="B258" s="248" t="s">
        <v>1648</v>
      </c>
    </row>
    <row r="259" spans="1:2">
      <c r="A259" s="243" t="s">
        <v>1541</v>
      </c>
      <c r="B259" s="250" t="s">
        <v>1542</v>
      </c>
    </row>
    <row r="260" spans="1:2">
      <c r="A260" s="245" t="s">
        <v>1315</v>
      </c>
      <c r="B260" s="249" t="s">
        <v>1316</v>
      </c>
    </row>
    <row r="261" spans="1:2">
      <c r="A261" s="245" t="s">
        <v>1571</v>
      </c>
      <c r="B261" s="249" t="s">
        <v>897</v>
      </c>
    </row>
    <row r="262" spans="1:2">
      <c r="A262" s="247" t="s">
        <v>1649</v>
      </c>
      <c r="B262" s="248" t="s">
        <v>1650</v>
      </c>
    </row>
    <row r="263" spans="1:2">
      <c r="A263" s="247" t="s">
        <v>1651</v>
      </c>
      <c r="B263" s="248" t="s">
        <v>1652</v>
      </c>
    </row>
    <row r="264" spans="1:2">
      <c r="A264" s="247" t="s">
        <v>1653</v>
      </c>
      <c r="B264" s="248" t="s">
        <v>1654</v>
      </c>
    </row>
    <row r="265" spans="1:2">
      <c r="A265" s="247" t="s">
        <v>1655</v>
      </c>
      <c r="B265" s="248" t="s">
        <v>1656</v>
      </c>
    </row>
    <row r="266" spans="1:2">
      <c r="A266" s="247" t="s">
        <v>1657</v>
      </c>
      <c r="B266" s="248" t="s">
        <v>1658</v>
      </c>
    </row>
    <row r="267" spans="1:2">
      <c r="A267" s="247" t="s">
        <v>1659</v>
      </c>
      <c r="B267" s="248" t="s">
        <v>1660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TOMISLAV</cp:lastModifiedBy>
  <cp:lastPrinted>2019-12-05T16:40:58Z</cp:lastPrinted>
  <dcterms:created xsi:type="dcterms:W3CDTF">2018-09-10T07:36:17Z</dcterms:created>
  <dcterms:modified xsi:type="dcterms:W3CDTF">2019-12-05T17:14:33Z</dcterms:modified>
</cp:coreProperties>
</file>